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T:\CO\Admin\Documents\Timing Scope\Appendix B - Estimated Signal Retiming Benefits\"/>
    </mc:Choice>
  </mc:AlternateContent>
  <xr:revisionPtr revIDLastSave="0" documentId="13_ncr:1_{9023625F-FC89-4987-B48A-19F78E6BEE33}" xr6:coauthVersionLast="47" xr6:coauthVersionMax="47" xr10:uidLastSave="{00000000-0000-0000-0000-000000000000}"/>
  <workbookProtection workbookAlgorithmName="SHA-512" workbookHashValue="kP26AaAbnepzc3nITucKm9qw3ppFyV16HAjjm4Df+d1B7xkv4JJ5EhzF4XnBoj1e+Ns4hDbkUb+AUJKC28ELDQ==" workbookSaltValue="zwAGECBJlMOWVH/vUpKycA==" workbookSpinCount="100000" lockStructure="1"/>
  <bookViews>
    <workbookView xWindow="11520" yWindow="0" windowWidth="11520" windowHeight="12360" xr2:uid="{00000000-000D-0000-FFFF-FFFF00000000}"/>
  </bookViews>
  <sheets>
    <sheet name="Summary" sheetId="1" r:id="rId1"/>
    <sheet name="Corridor Information" sheetId="6" r:id="rId2"/>
    <sheet name="Delay" sheetId="2" r:id="rId3"/>
    <sheet name="Safety" sheetId="4" r:id="rId4"/>
    <sheet name="Fuel" sheetId="5" r:id="rId5"/>
    <sheet name="Emissions" sheetId="7" r:id="rId6"/>
    <sheet name="Reference Sheet" sheetId="3" r:id="rId7"/>
    <sheet name="functional classifications" sheetId="8" state="hidden" r:id="rId8"/>
  </sheets>
  <definedNames>
    <definedName name="_xlnm.Print_Area" localSheetId="6">'Reference Sheet'!$A$1:$AK$31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A2" i="4" l="1"/>
  <c r="C12" i="6"/>
  <c r="J9" i="8"/>
  <c r="K9" i="8" s="1"/>
  <c r="J7" i="8"/>
  <c r="K7" i="8" s="1"/>
  <c r="J10" i="8"/>
  <c r="K10" i="8" s="1"/>
  <c r="J11" i="8"/>
  <c r="K11" i="8" s="1"/>
  <c r="J8" i="8"/>
  <c r="K8" i="8" s="1"/>
  <c r="J3" i="8"/>
  <c r="K3" i="8" s="1"/>
  <c r="J6" i="8"/>
  <c r="K6" i="8" s="1"/>
  <c r="J4" i="8"/>
  <c r="K4" i="8" s="1"/>
  <c r="J5" i="8"/>
  <c r="K5" i="8" s="1"/>
  <c r="J2" i="8" l="1"/>
  <c r="K2" i="8" s="1"/>
  <c r="C5" i="8" l="1"/>
  <c r="C4" i="8"/>
  <c r="C3" i="8"/>
  <c r="C6" i="8"/>
  <c r="C7" i="8"/>
  <c r="C8" i="8"/>
  <c r="C9" i="8"/>
  <c r="C10" i="8"/>
  <c r="C22" i="4" l="1"/>
  <c r="C18" i="5" l="1"/>
  <c r="C14" i="5"/>
  <c r="C11" i="8"/>
  <c r="C2" i="8"/>
  <c r="D25" i="7"/>
  <c r="C25" i="7"/>
  <c r="D17" i="7"/>
  <c r="C17" i="7"/>
  <c r="D9" i="7"/>
  <c r="C9" i="7"/>
  <c r="A2" i="7" l="1"/>
  <c r="A2" i="5"/>
  <c r="C2" i="1"/>
  <c r="A2" i="2"/>
  <c r="C15" i="2" l="1"/>
  <c r="C14" i="2"/>
  <c r="C13" i="2"/>
  <c r="D9" i="5"/>
  <c r="D10" i="5" s="1"/>
  <c r="C9" i="5"/>
  <c r="C10" i="5" s="1"/>
  <c r="C11" i="5" l="1"/>
  <c r="C19" i="5" s="1"/>
  <c r="W7" i="1" s="1"/>
  <c r="C10" i="7"/>
  <c r="C29" i="7" s="1"/>
  <c r="C26" i="7"/>
  <c r="C31" i="7" s="1"/>
  <c r="C18" i="7"/>
  <c r="C30" i="7" s="1"/>
  <c r="C20" i="5" l="1"/>
  <c r="V7" i="1" s="1"/>
  <c r="C33" i="7"/>
  <c r="V8" i="1" s="1"/>
  <c r="C32" i="7"/>
  <c r="W8" i="1" s="1"/>
  <c r="C23" i="4"/>
  <c r="C18" i="4"/>
  <c r="C13" i="4"/>
  <c r="C17" i="4"/>
  <c r="C12" i="4"/>
  <c r="C28" i="2"/>
  <c r="C19" i="2"/>
  <c r="C19" i="4" l="1"/>
  <c r="C14" i="4"/>
  <c r="C28" i="4"/>
  <c r="W6" i="1" s="1"/>
  <c r="C24" i="4"/>
  <c r="D9" i="2"/>
  <c r="C27" i="4" l="1"/>
  <c r="V6" i="1" s="1"/>
  <c r="C10" i="2"/>
  <c r="C30" i="2" l="1"/>
  <c r="C31" i="2" s="1"/>
  <c r="C21" i="2"/>
  <c r="C22" i="2" s="1"/>
  <c r="C23" i="2" l="1"/>
  <c r="C24" i="2"/>
  <c r="C33" i="2"/>
  <c r="C32" i="2"/>
  <c r="C36" i="2" l="1"/>
  <c r="W5" i="1" s="1"/>
  <c r="C37" i="2"/>
  <c r="V5" i="1" s="1"/>
  <c r="V9" i="1" s="1"/>
  <c r="V10" i="1" s="1"/>
</calcChain>
</file>

<file path=xl/sharedStrings.xml><?xml version="1.0" encoding="utf-8"?>
<sst xmlns="http://schemas.openxmlformats.org/spreadsheetml/2006/main" count="186" uniqueCount="134">
  <si>
    <t>Category</t>
  </si>
  <si>
    <t>Performance Measure</t>
  </si>
  <si>
    <t>Unit of Measure</t>
  </si>
  <si>
    <t>Reference source for Value</t>
  </si>
  <si>
    <t>Delay</t>
  </si>
  <si>
    <t>Intersection Delay</t>
  </si>
  <si>
    <t>Person Hours (car)</t>
  </si>
  <si>
    <t>(1)</t>
  </si>
  <si>
    <t>Person Hours (truck)</t>
  </si>
  <si>
    <t>Safety</t>
  </si>
  <si>
    <t>Property Damage Only (PDO) Crash</t>
  </si>
  <si>
    <t>Number of crashes</t>
  </si>
  <si>
    <t>Fatality Crash</t>
  </si>
  <si>
    <t>Emissions</t>
  </si>
  <si>
    <t>Carbon Monoxide (CO)</t>
  </si>
  <si>
    <t>Metric ton</t>
  </si>
  <si>
    <t>(4)</t>
  </si>
  <si>
    <t>Nitrous Oxide (NOx)</t>
  </si>
  <si>
    <t>Volatile Organic Compounds (VOC)</t>
  </si>
  <si>
    <t xml:space="preserve">Energy </t>
  </si>
  <si>
    <t>Fuel</t>
  </si>
  <si>
    <t>Gallon</t>
  </si>
  <si>
    <t>Sources:</t>
  </si>
  <si>
    <t>Corridor:</t>
  </si>
  <si>
    <t>Peak Hour</t>
  </si>
  <si>
    <t>AM</t>
  </si>
  <si>
    <t>MID</t>
  </si>
  <si>
    <t>PM</t>
  </si>
  <si>
    <t>Delay after retiming (sec/veh)</t>
  </si>
  <si>
    <t>Delay before retiming
(sec/veh)</t>
  </si>
  <si>
    <t>Difference</t>
  </si>
  <si>
    <t>ADT</t>
  </si>
  <si>
    <t>Truck %</t>
  </si>
  <si>
    <t>DELAY INFORMATION</t>
  </si>
  <si>
    <t>Work Days per year</t>
  </si>
  <si>
    <t>Delay reduction per day</t>
  </si>
  <si>
    <t>Daily person hour delay reduction</t>
  </si>
  <si>
    <t>Annual Delay Savings</t>
  </si>
  <si>
    <t>Delay cost per person hour</t>
  </si>
  <si>
    <t>% of daily traffic during peak hours</t>
  </si>
  <si>
    <t>CRASH DATA</t>
  </si>
  <si>
    <t>Injury</t>
  </si>
  <si>
    <t>Crashes over past 3 years</t>
  </si>
  <si>
    <t>Fatal</t>
  </si>
  <si>
    <t>Property Damage Only</t>
  </si>
  <si>
    <t>Injury Crash</t>
  </si>
  <si>
    <t>Crash Reduction Factor</t>
  </si>
  <si>
    <t>Potentially eliminated crashes</t>
  </si>
  <si>
    <t>Reduction Cost</t>
  </si>
  <si>
    <t>Cost savings</t>
  </si>
  <si>
    <t>Human capital per crash</t>
  </si>
  <si>
    <r>
      <t xml:space="preserve">Average Delay </t>
    </r>
    <r>
      <rPr>
        <sz val="11"/>
        <color theme="1"/>
        <rFont val="Calibri"/>
        <family val="2"/>
        <scheme val="minor"/>
      </rPr>
      <t>(sec/veh)</t>
    </r>
  </si>
  <si>
    <r>
      <t xml:space="preserve">Difference </t>
    </r>
    <r>
      <rPr>
        <sz val="11"/>
        <color theme="1"/>
        <rFont val="Calibri"/>
        <family val="2"/>
        <scheme val="minor"/>
      </rPr>
      <t>(hours/veh)</t>
    </r>
  </si>
  <si>
    <t>Work Days Per Year</t>
  </si>
  <si>
    <t>FUEL CONSUMPTION</t>
  </si>
  <si>
    <t>Cost of Fuel (gal)</t>
  </si>
  <si>
    <t>Fuel Savings</t>
  </si>
  <si>
    <t>Before retiming
(kg)</t>
  </si>
  <si>
    <t>After retiming (kg)</t>
  </si>
  <si>
    <t>Nitrogen Oxides</t>
  </si>
  <si>
    <t>Volatile Organic Compounds</t>
  </si>
  <si>
    <t>Total Emissions Savings</t>
  </si>
  <si>
    <t>Date:</t>
  </si>
  <si>
    <t>District:</t>
  </si>
  <si>
    <t>DELAY</t>
  </si>
  <si>
    <t>SAFETY</t>
  </si>
  <si>
    <t>FUEL</t>
  </si>
  <si>
    <t>EMISSIONS</t>
  </si>
  <si>
    <t>TOTAL</t>
  </si>
  <si>
    <t>ANNUAL RETIMING SAVINGS</t>
  </si>
  <si>
    <t>Engineering Cost</t>
  </si>
  <si>
    <t>No. of Intersections</t>
  </si>
  <si>
    <t>BENEFIT:COST RATIO</t>
  </si>
  <si>
    <r>
      <t xml:space="preserve">CALCULATIONS
</t>
    </r>
    <r>
      <rPr>
        <sz val="11"/>
        <color theme="0"/>
        <rFont val="Calibri"/>
        <family val="2"/>
        <scheme val="minor"/>
      </rPr>
      <t>(Passenger Vehicle)</t>
    </r>
  </si>
  <si>
    <r>
      <t xml:space="preserve">CALCULATIONS
</t>
    </r>
    <r>
      <rPr>
        <sz val="11"/>
        <color theme="0"/>
        <rFont val="Calibri"/>
        <family val="2"/>
        <scheme val="minor"/>
      </rPr>
      <t>(Trucks)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</si>
  <si>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Property Damage Only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</si>
  <si>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Injury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</si>
  <si>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Fatal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</si>
  <si>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Totals</t>
    </r>
  </si>
  <si>
    <t>Delay Analysis</t>
  </si>
  <si>
    <t>Safety Analysis</t>
  </si>
  <si>
    <t>Fuel Analysis</t>
  </si>
  <si>
    <t>Emissions Analysis</t>
  </si>
  <si>
    <t>Roadway Type</t>
  </si>
  <si>
    <t xml:space="preserve">               Peak hours taken as 7:00 AM to 7:00 PM.</t>
  </si>
  <si>
    <t>Rural Principal Arterial</t>
  </si>
  <si>
    <t>Rural Local</t>
  </si>
  <si>
    <t>Rural Major Collector</t>
  </si>
  <si>
    <t>Rural Minor Arterial</t>
  </si>
  <si>
    <t>Rural Minor Collector</t>
  </si>
  <si>
    <t>Urban Collector</t>
  </si>
  <si>
    <t>Urban Freeway</t>
  </si>
  <si>
    <t>Urban Local</t>
  </si>
  <si>
    <t>Urban Minor Arterial</t>
  </si>
  <si>
    <t>Urban Principal Arterial</t>
  </si>
  <si>
    <t>Before retiming
(g)</t>
  </si>
  <si>
    <t>Totals (kg)</t>
  </si>
  <si>
    <t>After retiming 
(g)</t>
  </si>
  <si>
    <t>Total (kg)</t>
  </si>
  <si>
    <t>% Traffic During Peak Hour</t>
  </si>
  <si>
    <t>% of traffic during non-peak 3 hours to peak 3 hours</t>
  </si>
  <si>
    <t>Total (gallons)</t>
  </si>
  <si>
    <t>Annual Delay Savings (hours)</t>
  </si>
  <si>
    <t>Fuel Savings (gal)</t>
  </si>
  <si>
    <t>ESTIMATED ANNUAL BENEFIT</t>
  </si>
  <si>
    <t>ESTIMATED ANNUAL SAVINGS</t>
  </si>
  <si>
    <t>Carbon Monoxide</t>
  </si>
  <si>
    <t>Estimated Benefit (metric tons)</t>
  </si>
  <si>
    <t>Total Emissions Savings (kg)</t>
  </si>
  <si>
    <r>
      <rPr>
        <b/>
        <sz val="18"/>
        <color theme="1"/>
        <rFont val="Cambria"/>
        <family val="1"/>
      </rPr>
      <t>Evaluation of Signal Retiming</t>
    </r>
    <r>
      <rPr>
        <b/>
        <sz val="14"/>
        <color theme="1"/>
        <rFont val="Cambria"/>
        <family val="1"/>
      </rPr>
      <t xml:space="preserve">
General Corridor Information</t>
    </r>
  </si>
  <si>
    <r>
      <t xml:space="preserve">Emissions Analysis
</t>
    </r>
    <r>
      <rPr>
        <sz val="11"/>
        <color theme="0"/>
        <rFont val="Calibri"/>
        <family val="2"/>
        <scheme val="minor"/>
      </rPr>
      <t>Carbon Monoxide</t>
    </r>
  </si>
  <si>
    <r>
      <t xml:space="preserve">Emissions Analysis
</t>
    </r>
    <r>
      <rPr>
        <sz val="11"/>
        <color theme="0"/>
        <rFont val="Calibri"/>
        <family val="2"/>
        <scheme val="minor"/>
      </rPr>
      <t>Nitrogen Oxides</t>
    </r>
  </si>
  <si>
    <r>
      <t xml:space="preserve">Emissions Analysis
</t>
    </r>
    <r>
      <rPr>
        <sz val="11"/>
        <color theme="0"/>
        <rFont val="Calibri"/>
        <family val="2"/>
        <scheme val="minor"/>
      </rPr>
      <t>Volatile Organic Compounds</t>
    </r>
  </si>
  <si>
    <t>Estimated Annual Signal Retiming Benefits</t>
  </si>
  <si>
    <t>Need to hide this sheet. Also, need to lock all other sheets and checkbox to Hide rows and columns under Page Layout--&gt;Headings--&gt;View</t>
  </si>
  <si>
    <t>(Urban Major Collector)</t>
  </si>
  <si>
    <t>column not used</t>
  </si>
  <si>
    <r>
      <t xml:space="preserve">Notes:  Percentage of vehicles during peak hour via functional classification taken from </t>
    </r>
    <r>
      <rPr>
        <i/>
        <sz val="9"/>
        <color theme="1"/>
        <rFont val="Calibri"/>
        <family val="2"/>
        <scheme val="minor"/>
      </rPr>
      <t>Hourly Percent by Vehicle Type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2016 Report</t>
    </r>
    <r>
      <rPr>
        <sz val="9"/>
        <color theme="1"/>
        <rFont val="Calibri"/>
        <family val="2"/>
        <scheme val="minor"/>
      </rPr>
      <t xml:space="preserve"> by ODOT Office of Technical Services. </t>
    </r>
  </si>
  <si>
    <t>CORRIDOR INFORMATION</t>
  </si>
  <si>
    <t>Vehicle Occupancy</t>
  </si>
  <si>
    <t>(2)</t>
  </si>
  <si>
    <t>(3)</t>
  </si>
  <si>
    <r>
      <t xml:space="preserve">     </t>
    </r>
    <r>
      <rPr>
        <u/>
        <sz val="9"/>
        <color rgb="FF0070C0"/>
        <rFont val="Calibri"/>
        <family val="2"/>
        <scheme val="minor"/>
      </rPr>
      <t xml:space="preserve"> Employment Cost Index</t>
    </r>
  </si>
  <si>
    <t xml:space="preserve">      Table E-5 - "Air Pollutant Damage Costs and Adjustment Factors Used in HERS."  </t>
  </si>
  <si>
    <r>
      <t xml:space="preserve">(4) </t>
    </r>
    <r>
      <rPr>
        <u/>
        <sz val="9"/>
        <color rgb="FF0070C0"/>
        <rFont val="Calibri"/>
        <family val="2"/>
        <scheme val="minor"/>
      </rPr>
      <t>Energy Information Administration Web site</t>
    </r>
    <r>
      <rPr>
        <sz val="9"/>
        <color theme="1"/>
        <rFont val="Calibri"/>
        <family val="2"/>
        <scheme val="minor"/>
      </rPr>
      <t>,</t>
    </r>
  </si>
  <si>
    <t>(5) Final Report - Signal Timing Optimization with Consideration of Environmental and Safety Impacts, Part A, Southeastern Transportation Research, Innovation, Development, and Education Center (STRIDE), 2017</t>
  </si>
  <si>
    <r>
      <t xml:space="preserve">(3) </t>
    </r>
    <r>
      <rPr>
        <i/>
        <u/>
        <sz val="9"/>
        <color rgb="FF0070C0"/>
        <rFont val="Calibri"/>
        <family val="2"/>
        <scheme val="minor"/>
      </rPr>
      <t>Highway Economic Requirements System-State Version Technical Report</t>
    </r>
    <r>
      <rPr>
        <i/>
        <sz val="9"/>
        <color theme="1"/>
        <rFont val="Calibri"/>
        <family val="2"/>
        <scheme val="minor"/>
      </rPr>
      <t xml:space="preserve">, </t>
    </r>
    <r>
      <rPr>
        <sz val="9"/>
        <color theme="1"/>
        <rFont val="Calibri"/>
        <family val="2"/>
        <scheme val="minor"/>
      </rPr>
      <t>U.S. Department of Transportation/Federal Highway Administration, 2005.</t>
    </r>
  </si>
  <si>
    <t>Value per Unit Measure
(2022 dollars)</t>
  </si>
  <si>
    <t>Reference Sheet - 2024</t>
  </si>
  <si>
    <r>
      <t>(1)</t>
    </r>
    <r>
      <rPr>
        <u/>
        <sz val="9"/>
        <color rgb="FF0070C0"/>
        <rFont val="Calibri"/>
        <family val="2"/>
        <scheme val="minor"/>
      </rPr>
      <t xml:space="preserve"> </t>
    </r>
    <r>
      <rPr>
        <i/>
        <u/>
        <sz val="9"/>
        <color rgb="FF0070C0"/>
        <rFont val="Calibri"/>
        <family val="2"/>
        <scheme val="minor"/>
      </rPr>
      <t>2023 Urban Mobility Report</t>
    </r>
    <r>
      <rPr>
        <sz val="9"/>
        <color theme="1"/>
        <rFont val="Calibri"/>
        <family val="2"/>
        <scheme val="minor"/>
      </rPr>
      <t>, Texas A&amp;M Transportation Institute, 2021. Appendix A, Exhibit A-10 - "National Congestion Constants for 2021 Urban Mobility Report"</t>
    </r>
  </si>
  <si>
    <r>
      <t xml:space="preserve">(2) </t>
    </r>
    <r>
      <rPr>
        <i/>
        <sz val="9"/>
        <color theme="1"/>
        <rFont val="Calibri"/>
        <family val="2"/>
        <scheme val="minor"/>
      </rPr>
      <t xml:space="preserve">2024 Crash Costs Update </t>
    </r>
    <r>
      <rPr>
        <sz val="9"/>
        <color theme="1"/>
        <rFont val="Calibri"/>
        <family val="2"/>
        <scheme val="minor"/>
      </rPr>
      <t>by ODOT Office of Systems Planning and Program Management; 2024 data. O:\SAFETY\CEN\HSP - Highway Safety Program\HSP 2024</t>
    </r>
  </si>
  <si>
    <t xml:space="preserve">      Costs converted from May 2002 to May 2024 by Consumer Price Index of 1.75</t>
  </si>
  <si>
    <t xml:space="preserve">  Data for Ohio 2023 yearly avg, Gasoline - All Grades</t>
  </si>
  <si>
    <r>
      <t xml:space="preserve">      If year data is available then no need to adjust. If not: (example) Costs are derived from the Bureau of Labor Statistics. Convert Values from Sept. 2019 to Sept. 2020 </t>
    </r>
    <r>
      <rPr>
        <u/>
        <sz val="9"/>
        <color rgb="FF0070C0"/>
        <rFont val="Calibri"/>
        <family val="2"/>
        <scheme val="minor"/>
      </rPr>
      <t>Consumer Price Index</t>
    </r>
    <r>
      <rPr>
        <sz val="9"/>
        <color theme="1"/>
        <rFont val="Calibri"/>
        <family val="2"/>
        <scheme val="minor"/>
      </rPr>
      <t xml:space="preserve"> of 1.01.   Example: $1,818,576 X 1.01 = $1,836,761.76.  For 2023, data was available so no need to adjust.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</si>
</sst>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&quot;$&quot;#,##0.00"/>
    <numFmt numFmtId="166" formatCode="0.0000E+00"/>
    <numFmt numFmtId="167" formatCode="0.0"/>
    <numFmt numFmtId="168" formatCode="&quot;$&quot;#,##0"/>
    <numFmt numFmtId="169" formatCode="_(&quot;$&quot;* #,##0_);_(&quot;$&quot;* \(#,##0\);_(&quot;$&quot;* &quot;-&quot;??_);_(@_)"/>
    <numFmt numFmtId="170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mbria"/>
      <family val="1"/>
    </font>
    <font>
      <u/>
      <sz val="9"/>
      <color rgb="FF0070C0"/>
      <name val="Calibri"/>
      <family val="2"/>
      <scheme val="minor"/>
    </font>
    <font>
      <i/>
      <u/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 indent="1"/>
    </xf>
    <xf numFmtId="2" fontId="0" fillId="0" borderId="9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36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4" fontId="6" fillId="0" borderId="0" xfId="0" applyNumberFormat="1" applyFont="1" applyProtection="1">
      <protection locked="0"/>
    </xf>
    <xf numFmtId="8" fontId="0" fillId="0" borderId="7" xfId="0" applyNumberFormat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36" xfId="0" applyFont="1" applyBorder="1" applyAlignment="1">
      <alignment horizontal="right" indent="1"/>
    </xf>
    <xf numFmtId="14" fontId="0" fillId="0" borderId="0" xfId="0" applyNumberFormat="1" applyProtection="1">
      <protection locked="0"/>
    </xf>
    <xf numFmtId="9" fontId="0" fillId="0" borderId="0" xfId="2" applyFont="1"/>
    <xf numFmtId="9" fontId="0" fillId="0" borderId="33" xfId="0" applyNumberFormat="1" applyBorder="1" applyAlignment="1">
      <alignment horizontal="center" vertical="center"/>
    </xf>
    <xf numFmtId="166" fontId="0" fillId="0" borderId="0" xfId="0" applyNumberFormat="1"/>
    <xf numFmtId="0" fontId="2" fillId="0" borderId="31" xfId="0" applyFon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168" fontId="2" fillId="0" borderId="38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 indent="1"/>
    </xf>
    <xf numFmtId="6" fontId="2" fillId="0" borderId="11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37" xfId="0" applyFont="1" applyBorder="1" applyAlignment="1">
      <alignment horizontal="center"/>
    </xf>
    <xf numFmtId="169" fontId="0" fillId="0" borderId="9" xfId="0" applyNumberFormat="1" applyBorder="1" applyAlignment="1">
      <alignment horizontal="left"/>
    </xf>
    <xf numFmtId="168" fontId="0" fillId="0" borderId="11" xfId="1" applyNumberFormat="1" applyFon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9" fillId="0" borderId="0" xfId="0" applyFont="1" applyAlignment="1">
      <alignment horizontal="left" indent="12"/>
    </xf>
    <xf numFmtId="0" fontId="5" fillId="0" borderId="0" xfId="0" applyFont="1" applyAlignment="1">
      <alignment horizontal="left" indent="12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32" xfId="0" applyNumberFormat="1" applyFill="1" applyBorder="1" applyAlignment="1" applyProtection="1">
      <alignment horizontal="center"/>
      <protection locked="0"/>
    </xf>
    <xf numFmtId="2" fontId="0" fillId="3" borderId="33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67" fontId="0" fillId="3" borderId="16" xfId="0" applyNumberFormat="1" applyFill="1" applyBorder="1" applyAlignment="1" applyProtection="1">
      <alignment horizontal="center"/>
      <protection locked="0"/>
    </xf>
    <xf numFmtId="167" fontId="0" fillId="3" borderId="13" xfId="0" applyNumberFormat="1" applyFill="1" applyBorder="1" applyAlignment="1" applyProtection="1">
      <alignment horizontal="center"/>
      <protection locked="0"/>
    </xf>
    <xf numFmtId="167" fontId="0" fillId="3" borderId="17" xfId="0" applyNumberFormat="1" applyFill="1" applyBorder="1" applyAlignment="1" applyProtection="1">
      <alignment horizontal="center"/>
      <protection locked="0"/>
    </xf>
    <xf numFmtId="167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indent="1"/>
      <protection locked="0"/>
    </xf>
    <xf numFmtId="170" fontId="0" fillId="3" borderId="9" xfId="0" applyNumberFormat="1" applyFill="1" applyBorder="1" applyAlignment="1" applyProtection="1">
      <alignment horizontal="center" vertical="center"/>
      <protection locked="0"/>
    </xf>
    <xf numFmtId="10" fontId="0" fillId="3" borderId="33" xfId="0" applyNumberFormat="1" applyFill="1" applyBorder="1" applyAlignment="1" applyProtection="1">
      <alignment horizontal="center" vertical="center"/>
      <protection locked="0"/>
    </xf>
    <xf numFmtId="6" fontId="0" fillId="3" borderId="11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1" fontId="0" fillId="0" borderId="0" xfId="0" applyNumberFormat="1"/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Protection="1">
      <protection locked="0"/>
    </xf>
    <xf numFmtId="44" fontId="3" fillId="0" borderId="0" xfId="1" applyFont="1" applyProtection="1">
      <protection locked="0"/>
    </xf>
    <xf numFmtId="49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44" fontId="0" fillId="0" borderId="0" xfId="1" applyFont="1" applyProtection="1"/>
    <xf numFmtId="0" fontId="7" fillId="2" borderId="1" xfId="0" applyFont="1" applyFill="1" applyBorder="1" applyAlignment="1">
      <alignment horizontal="center" vertical="center" wrapText="1"/>
    </xf>
    <xf numFmtId="44" fontId="7" fillId="2" borderId="1" xfId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Protection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8" fontId="0" fillId="0" borderId="1" xfId="1" applyNumberFormat="1" applyFont="1" applyBorder="1" applyProtection="1"/>
    <xf numFmtId="49" fontId="0" fillId="0" borderId="1" xfId="0" applyNumberFormat="1" applyBorder="1" applyAlignment="1">
      <alignment horizontal="center" vertical="center"/>
    </xf>
    <xf numFmtId="44" fontId="3" fillId="0" borderId="0" xfId="1" applyFont="1" applyProtection="1"/>
    <xf numFmtId="2" fontId="2" fillId="0" borderId="9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7" fontId="0" fillId="3" borderId="18" xfId="0" applyNumberFormat="1" applyFill="1" applyBorder="1" applyAlignment="1" applyProtection="1">
      <alignment horizontal="center"/>
      <protection locked="0"/>
    </xf>
    <xf numFmtId="167" fontId="0" fillId="3" borderId="11" xfId="0" applyNumberForma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left" indent="1"/>
      <protection locked="0"/>
    </xf>
    <xf numFmtId="14" fontId="6" fillId="3" borderId="0" xfId="0" applyNumberFormat="1" applyFont="1" applyFill="1" applyAlignment="1" applyProtection="1">
      <alignment horizontal="left" indent="1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166" fontId="2" fillId="0" borderId="18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/>
    </xf>
    <xf numFmtId="0" fontId="7" fillId="2" borderId="23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center" vertical="top"/>
    </xf>
    <xf numFmtId="168" fontId="2" fillId="0" borderId="34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168" fontId="2" fillId="0" borderId="43" xfId="0" applyNumberFormat="1" applyFont="1" applyBorder="1" applyAlignment="1">
      <alignment horizontal="center"/>
    </xf>
    <xf numFmtId="168" fontId="2" fillId="0" borderId="38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center"/>
    </xf>
    <xf numFmtId="167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24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afety.fhwa.dot.gov/tools/crf/resources/fhwasa08011/" TargetMode="External"/><Relationship Id="rId7" Type="http://schemas.openxmlformats.org/officeDocument/2006/relationships/hyperlink" Target="https://mobility.tamu.edu/umr/report/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mobility.tamu.edu/umr/report/#methodology" TargetMode="External"/><Relationship Id="rId6" Type="http://schemas.openxmlformats.org/officeDocument/2006/relationships/hyperlink" Target="https://www.eia.gov/dnav/pet/hist/LeafHandler.ashx?n=PET&amp;s=EMM_EPM0U_PTE_SOH_DPG&amp;f=W" TargetMode="External"/><Relationship Id="rId5" Type="http://schemas.openxmlformats.org/officeDocument/2006/relationships/hyperlink" Target="https://permanent.access.gpo.gov/lps57467/lps57467/isddc.dot.gov/OLPFiles/FHWA/" TargetMode="External"/><Relationship Id="rId4" Type="http://schemas.openxmlformats.org/officeDocument/2006/relationships/hyperlink" Target="https://www.bls.gov/news.release/eci.t04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409575</xdr:rowOff>
    </xdr:from>
    <xdr:to>
      <xdr:col>12</xdr:col>
      <xdr:colOff>503963</xdr:colOff>
      <xdr:row>23</xdr:row>
      <xdr:rowOff>189937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162050"/>
          <a:ext cx="6895238" cy="4504762"/>
        </a:xfrm>
        <a:prstGeom prst="rect">
          <a:avLst/>
        </a:prstGeom>
      </xdr:spPr>
    </xdr:pic>
    <xdr:clientData/>
  </xdr:twoCellAnchor>
  <xdr:oneCellAnchor>
    <xdr:from>
      <xdr:col>1</xdr:col>
      <xdr:colOff>542925</xdr:colOff>
      <xdr:row>5</xdr:row>
      <xdr:rowOff>47625</xdr:rowOff>
    </xdr:from>
    <xdr:ext cx="1371600" cy="269369"/>
    <xdr:sp macro="" textlink="Delay!C37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3950" y="2085975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EEF876B0-0C41-4586-A237-C32BEFE1E70D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cs typeface="Arial" panose="020B0604020202020204" pitchFamily="34" charset="0"/>
            </a:rPr>
            <a:pPr algn="r"/>
            <a:t> </a:t>
          </a:fld>
          <a:endParaRPr lang="en-US" sz="1200">
            <a:solidFill>
              <a:srgbClr val="42424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8</xdr:row>
      <xdr:rowOff>127000</xdr:rowOff>
    </xdr:from>
    <xdr:ext cx="1704975" cy="269369"/>
    <xdr:sp macro="" textlink="Safety!C27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14899" y="273685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9B3173DA-95DD-4679-8B7E-B18FCA96E0B9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$0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7</xdr:row>
      <xdr:rowOff>104775</xdr:rowOff>
    </xdr:from>
    <xdr:ext cx="1704975" cy="269369"/>
    <xdr:sp macro="" textlink="$W$6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14899" y="252412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088E71B0-28D4-4C0B-AA59-817BCC9CE3E1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0 Crashes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4</xdr:row>
      <xdr:rowOff>19050</xdr:rowOff>
    </xdr:from>
    <xdr:ext cx="1609725" cy="269369"/>
    <xdr:sp macro="" textlink="$W$5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" y="1866900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C517C3BE-FD94-4000-8DF1-7E953A5C652E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Hours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542925</xdr:colOff>
      <xdr:row>13</xdr:row>
      <xdr:rowOff>117475</xdr:rowOff>
    </xdr:from>
    <xdr:ext cx="1371600" cy="269369"/>
    <xdr:sp macro="" textlink="$V$8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23950" y="36893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6C6FCCC1-2F14-4ABE-AAE2-F115649664EA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$-  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12</xdr:row>
      <xdr:rowOff>88900</xdr:rowOff>
    </xdr:from>
    <xdr:ext cx="1609725" cy="269369"/>
    <xdr:sp macro="" textlink="$W$8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" y="3470275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D82B9562-04B7-4582-A914-F20295133A05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 kg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17</xdr:row>
      <xdr:rowOff>165100</xdr:rowOff>
    </xdr:from>
    <xdr:ext cx="1704975" cy="269369"/>
    <xdr:sp macro="" textlink="$V$7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14899" y="449897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4BEEF868-9959-4A1D-BE75-BA9F9434D6B7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$-  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16</xdr:row>
      <xdr:rowOff>136525</xdr:rowOff>
    </xdr:from>
    <xdr:ext cx="1704975" cy="269369"/>
    <xdr:sp macro="" textlink="$W$7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14899" y="427990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AA1CD0AD-7FE8-42FE-9689-C8529D3B8EC0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Gallons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552450</xdr:colOff>
      <xdr:row>21</xdr:row>
      <xdr:rowOff>3175</xdr:rowOff>
    </xdr:from>
    <xdr:ext cx="1371600" cy="269369"/>
    <xdr:sp macro="" textlink="$V$10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" y="50990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79E63B4C-3FAD-4B46-B582-F4F0E11EE708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240631</xdr:colOff>
      <xdr:row>2</xdr:row>
      <xdr:rowOff>675218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2E9B7FB-9CDD-4935-BBC8-334F207C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3684" cy="1427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14</xdr:row>
      <xdr:rowOff>25400</xdr:rowOff>
    </xdr:from>
    <xdr:to>
      <xdr:col>0</xdr:col>
      <xdr:colOff>1454150</xdr:colOff>
      <xdr:row>15</xdr:row>
      <xdr:rowOff>6350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20BDA-8555-4C94-961C-1010A9C0BC1D}"/>
            </a:ext>
          </a:extLst>
        </xdr:cNvPr>
        <xdr:cNvSpPr/>
      </xdr:nvSpPr>
      <xdr:spPr>
        <a:xfrm>
          <a:off x="165100" y="3168650"/>
          <a:ext cx="1289050" cy="165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16</xdr:row>
      <xdr:rowOff>19050</xdr:rowOff>
    </xdr:from>
    <xdr:to>
      <xdr:col>1</xdr:col>
      <xdr:colOff>1771650</xdr:colOff>
      <xdr:row>16</xdr:row>
      <xdr:rowOff>177800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D21775-0DF3-4A03-8D54-BE82D65EB385}"/>
            </a:ext>
          </a:extLst>
        </xdr:cNvPr>
        <xdr:cNvSpPr/>
      </xdr:nvSpPr>
      <xdr:spPr>
        <a:xfrm>
          <a:off x="2438400" y="35306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177800</xdr:colOff>
      <xdr:row>21</xdr:row>
      <xdr:rowOff>0</xdr:rowOff>
    </xdr:from>
    <xdr:to>
      <xdr:col>1</xdr:col>
      <xdr:colOff>609600</xdr:colOff>
      <xdr:row>21</xdr:row>
      <xdr:rowOff>0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21B182-5717-4672-87DE-271869394320}"/>
            </a:ext>
          </a:extLst>
        </xdr:cNvPr>
        <xdr:cNvSpPr/>
      </xdr:nvSpPr>
      <xdr:spPr>
        <a:xfrm>
          <a:off x="177800" y="4432300"/>
          <a:ext cx="21463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20</xdr:row>
      <xdr:rowOff>57150</xdr:rowOff>
    </xdr:from>
    <xdr:to>
      <xdr:col>0</xdr:col>
      <xdr:colOff>1390650</xdr:colOff>
      <xdr:row>20</xdr:row>
      <xdr:rowOff>152400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FB2CBA7-0A33-4788-A72D-F2C9984425B3}"/>
            </a:ext>
          </a:extLst>
        </xdr:cNvPr>
        <xdr:cNvSpPr/>
      </xdr:nvSpPr>
      <xdr:spPr>
        <a:xfrm>
          <a:off x="127000" y="4305300"/>
          <a:ext cx="12636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19</xdr:row>
      <xdr:rowOff>25400</xdr:rowOff>
    </xdr:from>
    <xdr:to>
      <xdr:col>3</xdr:col>
      <xdr:colOff>317500</xdr:colOff>
      <xdr:row>20</xdr:row>
      <xdr:rowOff>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ADDF3C-45AB-4E16-BD7D-98E30677B410}"/>
            </a:ext>
          </a:extLst>
        </xdr:cNvPr>
        <xdr:cNvSpPr/>
      </xdr:nvSpPr>
      <xdr:spPr>
        <a:xfrm>
          <a:off x="4813300" y="40894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209551</xdr:colOff>
      <xdr:row>21</xdr:row>
      <xdr:rowOff>57150</xdr:rowOff>
    </xdr:from>
    <xdr:to>
      <xdr:col>1</xdr:col>
      <xdr:colOff>1752601</xdr:colOff>
      <xdr:row>21</xdr:row>
      <xdr:rowOff>171450</xdr:rowOff>
    </xdr:to>
    <xdr:sp macro="" textlink="">
      <xdr:nvSpPr>
        <xdr:cNvPr id="7" name="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EBE167-9529-4315-A017-E8D86B35AE0C}"/>
            </a:ext>
          </a:extLst>
        </xdr:cNvPr>
        <xdr:cNvSpPr/>
      </xdr:nvSpPr>
      <xdr:spPr>
        <a:xfrm>
          <a:off x="209551" y="4489450"/>
          <a:ext cx="325755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24</xdr:row>
      <xdr:rowOff>57150</xdr:rowOff>
    </xdr:from>
    <xdr:to>
      <xdr:col>1</xdr:col>
      <xdr:colOff>501650</xdr:colOff>
      <xdr:row>24</xdr:row>
      <xdr:rowOff>152400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42F90A-2D49-491E-97BC-63E667DD68DF}"/>
            </a:ext>
          </a:extLst>
        </xdr:cNvPr>
        <xdr:cNvSpPr/>
      </xdr:nvSpPr>
      <xdr:spPr>
        <a:xfrm>
          <a:off x="171450" y="5041900"/>
          <a:ext cx="204470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16</xdr:row>
      <xdr:rowOff>19050</xdr:rowOff>
    </xdr:from>
    <xdr:to>
      <xdr:col>1</xdr:col>
      <xdr:colOff>1771650</xdr:colOff>
      <xdr:row>16</xdr:row>
      <xdr:rowOff>177800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530C69-EB97-4E2E-991B-2442D6E385CE}"/>
            </a:ext>
          </a:extLst>
        </xdr:cNvPr>
        <xdr:cNvSpPr/>
      </xdr:nvSpPr>
      <xdr:spPr>
        <a:xfrm>
          <a:off x="2362200" y="363855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19</xdr:row>
      <xdr:rowOff>25400</xdr:rowOff>
    </xdr:from>
    <xdr:to>
      <xdr:col>3</xdr:col>
      <xdr:colOff>317500</xdr:colOff>
      <xdr:row>20</xdr:row>
      <xdr:rowOff>0</xdr:rowOff>
    </xdr:to>
    <xdr:sp macro="" textlink="">
      <xdr:nvSpPr>
        <xdr:cNvPr id="10" name="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3618E-DA49-415B-9666-C96BC14A66FC}"/>
            </a:ext>
          </a:extLst>
        </xdr:cNvPr>
        <xdr:cNvSpPr/>
      </xdr:nvSpPr>
      <xdr:spPr>
        <a:xfrm>
          <a:off x="4635500" y="4216400"/>
          <a:ext cx="977900" cy="288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19</xdr:row>
      <xdr:rowOff>25400</xdr:rowOff>
    </xdr:from>
    <xdr:to>
      <xdr:col>3</xdr:col>
      <xdr:colOff>317500</xdr:colOff>
      <xdr:row>20</xdr:row>
      <xdr:rowOff>0</xdr:rowOff>
    </xdr:to>
    <xdr:sp macro="" textlink="">
      <xdr:nvSpPr>
        <xdr:cNvPr id="11" name="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F05D9B-37A8-410D-A024-B90473AF5975}"/>
            </a:ext>
          </a:extLst>
        </xdr:cNvPr>
        <xdr:cNvSpPr/>
      </xdr:nvSpPr>
      <xdr:spPr>
        <a:xfrm>
          <a:off x="4736465" y="4031615"/>
          <a:ext cx="1033145" cy="2927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165100</xdr:colOff>
      <xdr:row>14</xdr:row>
      <xdr:rowOff>25400</xdr:rowOff>
    </xdr:from>
    <xdr:to>
      <xdr:col>0</xdr:col>
      <xdr:colOff>1454150</xdr:colOff>
      <xdr:row>15</xdr:row>
      <xdr:rowOff>0</xdr:rowOff>
    </xdr:to>
    <xdr:sp macro="" textlink="">
      <xdr:nvSpPr>
        <xdr:cNvPr id="12" name="Rectangle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61925E5-C85B-400C-822C-EC918E55429A}"/>
            </a:ext>
          </a:extLst>
        </xdr:cNvPr>
        <xdr:cNvSpPr/>
      </xdr:nvSpPr>
      <xdr:spPr>
        <a:xfrm>
          <a:off x="165100" y="3149600"/>
          <a:ext cx="1289050" cy="157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15</xdr:row>
      <xdr:rowOff>0</xdr:rowOff>
    </xdr:from>
    <xdr:to>
      <xdr:col>1</xdr:col>
      <xdr:colOff>1771650</xdr:colOff>
      <xdr:row>15</xdr:row>
      <xdr:rowOff>0</xdr:rowOff>
    </xdr:to>
    <xdr:sp macro="" textlink="">
      <xdr:nvSpPr>
        <xdr:cNvPr id="13" name="Rectangl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CA427F-EB26-455F-A9A5-D9EAC6F2D2A9}"/>
            </a:ext>
          </a:extLst>
        </xdr:cNvPr>
        <xdr:cNvSpPr/>
      </xdr:nvSpPr>
      <xdr:spPr>
        <a:xfrm>
          <a:off x="2407920" y="3307080"/>
          <a:ext cx="104775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177800</xdr:colOff>
      <xdr:row>18</xdr:row>
      <xdr:rowOff>0</xdr:rowOff>
    </xdr:from>
    <xdr:to>
      <xdr:col>1</xdr:col>
      <xdr:colOff>609600</xdr:colOff>
      <xdr:row>18</xdr:row>
      <xdr:rowOff>0</xdr:rowOff>
    </xdr:to>
    <xdr:sp macro="" textlink="">
      <xdr:nvSpPr>
        <xdr:cNvPr id="14" name="Rectangl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9EEE5C-C230-4004-9ED8-B40951822D21}"/>
            </a:ext>
          </a:extLst>
        </xdr:cNvPr>
        <xdr:cNvSpPr/>
      </xdr:nvSpPr>
      <xdr:spPr>
        <a:xfrm>
          <a:off x="177800" y="3985260"/>
          <a:ext cx="211582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17</xdr:row>
      <xdr:rowOff>57150</xdr:rowOff>
    </xdr:from>
    <xdr:to>
      <xdr:col>0</xdr:col>
      <xdr:colOff>1390650</xdr:colOff>
      <xdr:row>17</xdr:row>
      <xdr:rowOff>152400</xdr:rowOff>
    </xdr:to>
    <xdr:sp macro="" textlink="">
      <xdr:nvSpPr>
        <xdr:cNvPr id="15" name="Rectangl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F2CB44-D376-443B-89DD-FD3E78CA8A99}"/>
            </a:ext>
          </a:extLst>
        </xdr:cNvPr>
        <xdr:cNvSpPr/>
      </xdr:nvSpPr>
      <xdr:spPr>
        <a:xfrm>
          <a:off x="127000" y="3859530"/>
          <a:ext cx="12636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16</xdr:row>
      <xdr:rowOff>25400</xdr:rowOff>
    </xdr:from>
    <xdr:to>
      <xdr:col>3</xdr:col>
      <xdr:colOff>317500</xdr:colOff>
      <xdr:row>17</xdr:row>
      <xdr:rowOff>0</xdr:rowOff>
    </xdr:to>
    <xdr:sp macro="" textlink="">
      <xdr:nvSpPr>
        <xdr:cNvPr id="16" name="Rectangl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947384-AC26-4706-9F9B-27BB3F53D01F}"/>
            </a:ext>
          </a:extLst>
        </xdr:cNvPr>
        <xdr:cNvSpPr/>
      </xdr:nvSpPr>
      <xdr:spPr>
        <a:xfrm>
          <a:off x="4742180" y="3515360"/>
          <a:ext cx="1023620" cy="2870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209551</xdr:colOff>
      <xdr:row>18</xdr:row>
      <xdr:rowOff>57150</xdr:rowOff>
    </xdr:from>
    <xdr:to>
      <xdr:col>1</xdr:col>
      <xdr:colOff>1752601</xdr:colOff>
      <xdr:row>18</xdr:row>
      <xdr:rowOff>171450</xdr:rowOff>
    </xdr:to>
    <xdr:sp macro="" textlink="">
      <xdr:nvSpPr>
        <xdr:cNvPr id="17" name="Rectangl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3AAFFC4-0633-41B7-BD3C-C5FB82DB6190}"/>
            </a:ext>
          </a:extLst>
        </xdr:cNvPr>
        <xdr:cNvSpPr/>
      </xdr:nvSpPr>
      <xdr:spPr>
        <a:xfrm>
          <a:off x="209551" y="4042410"/>
          <a:ext cx="322707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21</xdr:row>
      <xdr:rowOff>57150</xdr:rowOff>
    </xdr:from>
    <xdr:to>
      <xdr:col>1</xdr:col>
      <xdr:colOff>501650</xdr:colOff>
      <xdr:row>21</xdr:row>
      <xdr:rowOff>152400</xdr:rowOff>
    </xdr:to>
    <xdr:sp macro="" textlink="">
      <xdr:nvSpPr>
        <xdr:cNvPr id="18" name="Rectangl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34FF6C-206F-4933-9652-6E163FBED169}"/>
            </a:ext>
          </a:extLst>
        </xdr:cNvPr>
        <xdr:cNvSpPr/>
      </xdr:nvSpPr>
      <xdr:spPr>
        <a:xfrm>
          <a:off x="171450" y="4591050"/>
          <a:ext cx="201422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25"/>
  <sheetViews>
    <sheetView showGridLines="0" showRowColHeaders="0" tabSelected="1" zoomScale="95" zoomScaleNormal="95" workbookViewId="0"/>
  </sheetViews>
  <sheetFormatPr defaultColWidth="0" defaultRowHeight="14.4" zeroHeight="1" x14ac:dyDescent="0.3"/>
  <cols>
    <col min="1" max="13" width="8.6640625" customWidth="1"/>
    <col min="14" max="19" width="8.6640625" hidden="1" customWidth="1"/>
    <col min="20" max="20" width="9.109375" hidden="1" customWidth="1"/>
    <col min="21" max="22" width="15" hidden="1" customWidth="1"/>
    <col min="23" max="16384" width="9.109375" hidden="1"/>
  </cols>
  <sheetData>
    <row r="1" spans="1:23" ht="39" customHeight="1" x14ac:dyDescent="0.4">
      <c r="A1" s="71"/>
      <c r="B1" s="71"/>
      <c r="C1" s="76" t="s">
        <v>113</v>
      </c>
      <c r="D1" s="71"/>
    </row>
    <row r="2" spans="1:23" ht="20.25" customHeight="1" x14ac:dyDescent="0.3">
      <c r="C2" s="77" t="str">
        <f>"Corridor:  "&amp;'Corridor Information'!B2</f>
        <v xml:space="preserve">Corridor:  </v>
      </c>
    </row>
    <row r="3" spans="1:23" ht="70.5" customHeight="1" thickBot="1" x14ac:dyDescent="0.35"/>
    <row r="4" spans="1:23" ht="15" thickBot="1" x14ac:dyDescent="0.35">
      <c r="U4" s="130" t="s">
        <v>69</v>
      </c>
      <c r="V4" s="131"/>
    </row>
    <row r="5" spans="1:23" x14ac:dyDescent="0.3">
      <c r="U5" s="43" t="s">
        <v>64</v>
      </c>
      <c r="V5" s="73" t="str">
        <f>IFERROR(Delay!C37,0)</f>
        <v/>
      </c>
      <c r="W5" s="50" t="str">
        <f>IFERROR(TEXT(Delay!C36,"#,###")&amp;" Hours",0)</f>
        <v xml:space="preserve"> Hours</v>
      </c>
    </row>
    <row r="6" spans="1:23" x14ac:dyDescent="0.3">
      <c r="U6" s="35" t="s">
        <v>65</v>
      </c>
      <c r="V6" s="73">
        <f>IFERROR(Safety!C27,0)</f>
        <v>0</v>
      </c>
      <c r="W6" t="str">
        <f>IFERROR(Safety!C28&amp;" Crashes",0)</f>
        <v>0 Crashes</v>
      </c>
    </row>
    <row r="7" spans="1:23" x14ac:dyDescent="0.3">
      <c r="U7" s="35" t="s">
        <v>66</v>
      </c>
      <c r="V7" s="73">
        <f>IFERROR(Fuel!C20,0)</f>
        <v>0</v>
      </c>
      <c r="W7" t="str">
        <f>TEXT(Fuel!C19,"#,###")&amp;" Gallons"</f>
        <v xml:space="preserve"> Gallons</v>
      </c>
    </row>
    <row r="8" spans="1:23" x14ac:dyDescent="0.3">
      <c r="U8" s="35" t="s">
        <v>67</v>
      </c>
      <c r="V8" s="73">
        <f>IFERROR(Emissions!C33,0)</f>
        <v>0</v>
      </c>
      <c r="W8" t="str">
        <f>IFERROR(Emissions!C32&amp;" kg",0)</f>
        <v>0 kg</v>
      </c>
    </row>
    <row r="9" spans="1:23" x14ac:dyDescent="0.3">
      <c r="U9" s="35" t="s">
        <v>68</v>
      </c>
      <c r="V9" s="73">
        <f>SUM(V5:V8)</f>
        <v>0</v>
      </c>
    </row>
    <row r="10" spans="1:23" ht="15" thickBot="1" x14ac:dyDescent="0.35">
      <c r="U10" s="42" t="s">
        <v>72</v>
      </c>
      <c r="V10" s="64">
        <f>IFERROR(ROUND(V9/'Corridor Information'!C14,0)&amp;":1",0)</f>
        <v>0</v>
      </c>
    </row>
    <row r="11" spans="1:23" x14ac:dyDescent="0.3"/>
    <row r="12" spans="1:23" x14ac:dyDescent="0.3"/>
    <row r="13" spans="1:23" x14ac:dyDescent="0.3"/>
    <row r="14" spans="1:23" x14ac:dyDescent="0.3"/>
    <row r="15" spans="1:23" x14ac:dyDescent="0.3"/>
    <row r="16" spans="1:23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ht="113.25" hidden="1" customHeight="1" x14ac:dyDescent="0.3"/>
  </sheetData>
  <mergeCells count="1">
    <mergeCell ref="U4:V4"/>
  </mergeCells>
  <pageMargins left="0.7" right="0.7" top="0.75" bottom="0.75" header="0.3" footer="0.3"/>
  <pageSetup orientation="landscape" r:id="rId1"/>
  <headerFooter>
    <oddFooter>&amp;RPublish Date: Feb.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zoomScaleNormal="100" workbookViewId="0">
      <selection sqref="A1:D1"/>
    </sheetView>
  </sheetViews>
  <sheetFormatPr defaultColWidth="0" defaultRowHeight="14.4" zeroHeight="1" x14ac:dyDescent="0.3"/>
  <cols>
    <col min="1" max="1" width="16.6640625" customWidth="1"/>
    <col min="2" max="2" width="21.44140625" customWidth="1"/>
    <col min="3" max="3" width="22.109375" customWidth="1"/>
    <col min="4" max="4" width="23.6640625" customWidth="1"/>
    <col min="5" max="5" width="3" customWidth="1"/>
    <col min="6" max="16384" width="9.109375" hidden="1"/>
  </cols>
  <sheetData>
    <row r="1" spans="1:4" ht="72.75" customHeight="1" x14ac:dyDescent="0.3">
      <c r="A1" s="132" t="s">
        <v>109</v>
      </c>
      <c r="B1" s="133"/>
      <c r="C1" s="133"/>
      <c r="D1" s="133"/>
    </row>
    <row r="2" spans="1:4" x14ac:dyDescent="0.3">
      <c r="A2" s="24" t="s">
        <v>23</v>
      </c>
      <c r="B2" s="134"/>
      <c r="C2" s="134"/>
      <c r="D2" s="46"/>
    </row>
    <row r="3" spans="1:4" x14ac:dyDescent="0.3">
      <c r="A3" s="24" t="s">
        <v>63</v>
      </c>
      <c r="B3" s="96"/>
      <c r="C3" s="96"/>
      <c r="D3" s="47"/>
    </row>
    <row r="4" spans="1:4" x14ac:dyDescent="0.3">
      <c r="A4" s="24" t="s">
        <v>62</v>
      </c>
      <c r="B4" s="135"/>
      <c r="C4" s="135"/>
      <c r="D4" s="48"/>
    </row>
    <row r="5" spans="1:4" x14ac:dyDescent="0.3"/>
    <row r="6" spans="1:4" x14ac:dyDescent="0.3"/>
    <row r="7" spans="1:4" ht="15" thickBot="1" x14ac:dyDescent="0.35"/>
    <row r="8" spans="1:4" ht="15" thickBot="1" x14ac:dyDescent="0.35">
      <c r="B8" s="130" t="s">
        <v>118</v>
      </c>
      <c r="C8" s="131"/>
    </row>
    <row r="9" spans="1:4" x14ac:dyDescent="0.3">
      <c r="B9" s="36" t="s">
        <v>31</v>
      </c>
      <c r="C9" s="90"/>
    </row>
    <row r="10" spans="1:4" x14ac:dyDescent="0.3">
      <c r="B10" s="37" t="s">
        <v>32</v>
      </c>
      <c r="C10" s="97"/>
    </row>
    <row r="11" spans="1:4" x14ac:dyDescent="0.3">
      <c r="B11" s="53" t="s">
        <v>83</v>
      </c>
      <c r="C11" s="98" t="s">
        <v>94</v>
      </c>
    </row>
    <row r="12" spans="1:4" ht="28.8" x14ac:dyDescent="0.3">
      <c r="B12" s="38" t="s">
        <v>39</v>
      </c>
      <c r="C12" s="56">
        <f>VLOOKUP(C11,'functional classifications'!A2:B11,2,TRUE)</f>
        <v>0.77399999999999991</v>
      </c>
    </row>
    <row r="13" spans="1:4" x14ac:dyDescent="0.3">
      <c r="B13" s="39" t="s">
        <v>71</v>
      </c>
      <c r="C13" s="91"/>
    </row>
    <row r="14" spans="1:4" ht="15" thickBot="1" x14ac:dyDescent="0.35">
      <c r="B14" s="40" t="s">
        <v>70</v>
      </c>
      <c r="C14" s="99"/>
    </row>
    <row r="15" spans="1:4" x14ac:dyDescent="0.3">
      <c r="C15" s="41"/>
    </row>
    <row r="16" spans="1:4" x14ac:dyDescent="0.3"/>
  </sheetData>
  <sheetProtection algorithmName="SHA-512" hashValue="1fdHfC5MZ4We3rRmsNgYtdrQJfEAqdLkKSvbZUs4Axf+2jKKkF8gDP6ryOgCdCyAzr9DWvMUjGkTXfWM+Rww0Q==" saltValue="XcB0NoZ4QaZIFoW+xupuVA==" spinCount="100000" sheet="1" objects="1" scenarios="1"/>
  <mergeCells count="4">
    <mergeCell ref="A1:D1"/>
    <mergeCell ref="B8:C8"/>
    <mergeCell ref="B2:C2"/>
    <mergeCell ref="B4:C4"/>
  </mergeCells>
  <pageMargins left="0.7" right="0.7" top="0.75" bottom="0.75" header="0.3" footer="0.3"/>
  <pageSetup orientation="portrait" r:id="rId1"/>
  <headerFooter>
    <oddFooter>&amp;RPublish Date: Feb. 2021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'functional classifications'!$A$2:$A$11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showGridLines="0" showRowColHeaders="0" zoomScaleNormal="100" workbookViewId="0">
      <selection sqref="A1:E1"/>
    </sheetView>
  </sheetViews>
  <sheetFormatPr defaultColWidth="0" defaultRowHeight="14.4" zeroHeight="1" x14ac:dyDescent="0.3"/>
  <cols>
    <col min="1" max="1" width="6.109375" customWidth="1"/>
    <col min="2" max="2" width="34.88671875" customWidth="1"/>
    <col min="3" max="4" width="20.109375" customWidth="1"/>
    <col min="5" max="5" width="7.5546875" customWidth="1"/>
    <col min="6" max="6" width="4.6640625" hidden="1" customWidth="1"/>
    <col min="7" max="16384" width="9.109375" hidden="1"/>
  </cols>
  <sheetData>
    <row r="1" spans="1:5" ht="30" customHeight="1" x14ac:dyDescent="0.3">
      <c r="A1" s="136" t="s">
        <v>79</v>
      </c>
      <c r="B1" s="136"/>
      <c r="C1" s="136"/>
      <c r="D1" s="136"/>
      <c r="E1" s="136"/>
    </row>
    <row r="2" spans="1:5" x14ac:dyDescent="0.3">
      <c r="A2" s="137" t="str">
        <f>"Corridor:  "&amp;'Corridor Information'!B2</f>
        <v xml:space="preserve">Corridor:  </v>
      </c>
      <c r="B2" s="137"/>
      <c r="C2" s="137"/>
      <c r="D2" s="137"/>
      <c r="E2" s="137"/>
    </row>
    <row r="3" spans="1:5" ht="15" thickBot="1" x14ac:dyDescent="0.35"/>
    <row r="4" spans="1:5" ht="15" thickBot="1" x14ac:dyDescent="0.35">
      <c r="B4" s="130" t="s">
        <v>33</v>
      </c>
      <c r="C4" s="141"/>
      <c r="D4" s="131"/>
    </row>
    <row r="5" spans="1:5" ht="29.4" thickBot="1" x14ac:dyDescent="0.35">
      <c r="B5" s="19" t="s">
        <v>24</v>
      </c>
      <c r="C5" s="18" t="s">
        <v>29</v>
      </c>
      <c r="D5" s="8" t="s">
        <v>28</v>
      </c>
      <c r="E5" s="5"/>
    </row>
    <row r="6" spans="1:5" x14ac:dyDescent="0.3">
      <c r="B6" s="10" t="s">
        <v>25</v>
      </c>
      <c r="C6" s="92"/>
      <c r="D6" s="93"/>
    </row>
    <row r="7" spans="1:5" x14ac:dyDescent="0.3">
      <c r="B7" s="11" t="s">
        <v>26</v>
      </c>
      <c r="C7" s="94"/>
      <c r="D7" s="95"/>
    </row>
    <row r="8" spans="1:5" x14ac:dyDescent="0.3">
      <c r="B8" s="11" t="s">
        <v>27</v>
      </c>
      <c r="C8" s="94"/>
      <c r="D8" s="95"/>
    </row>
    <row r="9" spans="1:5" x14ac:dyDescent="0.3">
      <c r="B9" s="12" t="s">
        <v>51</v>
      </c>
      <c r="C9" s="9" t="str">
        <f>IFERROR(AVERAGE(C6:C8),"")</f>
        <v/>
      </c>
      <c r="D9" s="6" t="str">
        <f>IFERROR(AVERAGE(D6:D8),"")</f>
        <v/>
      </c>
    </row>
    <row r="10" spans="1:5" ht="15" thickBot="1" x14ac:dyDescent="0.35">
      <c r="B10" s="13" t="s">
        <v>52</v>
      </c>
      <c r="C10" s="139" t="str">
        <f>IFERROR((C9-D9)/3600,"")</f>
        <v/>
      </c>
      <c r="D10" s="140"/>
    </row>
    <row r="11" spans="1:5" ht="15" thickBot="1" x14ac:dyDescent="0.35"/>
    <row r="12" spans="1:5" ht="15" thickBot="1" x14ac:dyDescent="0.35">
      <c r="B12" s="130" t="s">
        <v>118</v>
      </c>
      <c r="C12" s="131"/>
    </row>
    <row r="13" spans="1:5" x14ac:dyDescent="0.3">
      <c r="B13" s="14" t="s">
        <v>31</v>
      </c>
      <c r="C13" s="25">
        <f>'Corridor Information'!C9</f>
        <v>0</v>
      </c>
    </row>
    <row r="14" spans="1:5" x14ac:dyDescent="0.3">
      <c r="B14" s="15" t="s">
        <v>32</v>
      </c>
      <c r="C14" s="75">
        <f>'Corridor Information'!C10</f>
        <v>0</v>
      </c>
    </row>
    <row r="15" spans="1:5" ht="15" thickBot="1" x14ac:dyDescent="0.35">
      <c r="B15" s="7" t="s">
        <v>39</v>
      </c>
      <c r="C15" s="26">
        <f>'Corridor Information'!C12</f>
        <v>0.77399999999999991</v>
      </c>
    </row>
    <row r="16" spans="1:5" ht="15" thickBot="1" x14ac:dyDescent="0.35"/>
    <row r="17" spans="2:3" ht="31.5" customHeight="1" thickBot="1" x14ac:dyDescent="0.35">
      <c r="B17" s="138" t="s">
        <v>73</v>
      </c>
      <c r="C17" s="142"/>
    </row>
    <row r="18" spans="2:3" x14ac:dyDescent="0.3">
      <c r="B18" s="44" t="s">
        <v>119</v>
      </c>
      <c r="C18" s="32">
        <v>1.5</v>
      </c>
    </row>
    <row r="19" spans="2:3" x14ac:dyDescent="0.3">
      <c r="B19" s="16" t="s">
        <v>38</v>
      </c>
      <c r="C19" s="20">
        <f>'Reference Sheet'!D4</f>
        <v>23.12</v>
      </c>
    </row>
    <row r="20" spans="2:3" x14ac:dyDescent="0.3">
      <c r="B20" s="16" t="s">
        <v>34</v>
      </c>
      <c r="C20" s="6">
        <v>260</v>
      </c>
    </row>
    <row r="21" spans="2:3" x14ac:dyDescent="0.3">
      <c r="B21" s="16" t="s">
        <v>35</v>
      </c>
      <c r="C21" s="17" t="str">
        <f>IFERROR(((C15-C14)*C13)*C10,"")</f>
        <v/>
      </c>
    </row>
    <row r="22" spans="2:3" x14ac:dyDescent="0.3">
      <c r="B22" s="16" t="s">
        <v>36</v>
      </c>
      <c r="C22" s="17" t="str">
        <f>IFERROR(C21*C18,"")</f>
        <v/>
      </c>
    </row>
    <row r="23" spans="2:3" x14ac:dyDescent="0.3">
      <c r="B23" s="16" t="s">
        <v>102</v>
      </c>
      <c r="C23" s="67" t="str">
        <f>IFERROR(ROUND(C22*C20,0),"")</f>
        <v/>
      </c>
    </row>
    <row r="24" spans="2:3" ht="15" thickBot="1" x14ac:dyDescent="0.35">
      <c r="B24" s="21" t="s">
        <v>37</v>
      </c>
      <c r="C24" s="74" t="str">
        <f>IFERROR(ROUND(C22*C20*C19,0),"")</f>
        <v/>
      </c>
    </row>
    <row r="25" spans="2:3" ht="15" thickBot="1" x14ac:dyDescent="0.35"/>
    <row r="26" spans="2:3" ht="31.5" customHeight="1" thickBot="1" x14ac:dyDescent="0.35">
      <c r="B26" s="138" t="s">
        <v>74</v>
      </c>
      <c r="C26" s="131"/>
    </row>
    <row r="27" spans="2:3" x14ac:dyDescent="0.3">
      <c r="B27" s="22" t="s">
        <v>119</v>
      </c>
      <c r="C27" s="23">
        <v>1</v>
      </c>
    </row>
    <row r="28" spans="2:3" x14ac:dyDescent="0.3">
      <c r="B28" s="16" t="s">
        <v>38</v>
      </c>
      <c r="C28" s="20">
        <f>'Reference Sheet'!D5</f>
        <v>64.680000000000007</v>
      </c>
    </row>
    <row r="29" spans="2:3" x14ac:dyDescent="0.3">
      <c r="B29" s="16" t="s">
        <v>34</v>
      </c>
      <c r="C29" s="6">
        <v>260</v>
      </c>
    </row>
    <row r="30" spans="2:3" x14ac:dyDescent="0.3">
      <c r="B30" s="16" t="s">
        <v>35</v>
      </c>
      <c r="C30" s="17" t="str">
        <f>IFERROR((C13*(C15*C14))*C10,"")</f>
        <v/>
      </c>
    </row>
    <row r="31" spans="2:3" x14ac:dyDescent="0.3">
      <c r="B31" s="16" t="s">
        <v>36</v>
      </c>
      <c r="C31" s="17" t="str">
        <f>IFERROR(C30*C27,"")</f>
        <v/>
      </c>
    </row>
    <row r="32" spans="2:3" x14ac:dyDescent="0.3">
      <c r="B32" s="16" t="s">
        <v>102</v>
      </c>
      <c r="C32" s="67" t="str">
        <f>IFERROR(ROUND(C31*C29,0),"")</f>
        <v/>
      </c>
    </row>
    <row r="33" spans="2:3" ht="15" thickBot="1" x14ac:dyDescent="0.35">
      <c r="B33" s="21" t="s">
        <v>37</v>
      </c>
      <c r="C33" s="74" t="str">
        <f>IFERROR(ROUND(C31*C29*C28,0),"")</f>
        <v/>
      </c>
    </row>
    <row r="34" spans="2:3" ht="15" thickBot="1" x14ac:dyDescent="0.35"/>
    <row r="35" spans="2:3" ht="15" thickBot="1" x14ac:dyDescent="0.35">
      <c r="B35" s="138" t="s">
        <v>105</v>
      </c>
      <c r="C35" s="131"/>
    </row>
    <row r="36" spans="2:3" x14ac:dyDescent="0.3">
      <c r="B36" s="44" t="s">
        <v>102</v>
      </c>
      <c r="C36" s="66" t="str">
        <f>IFERROR((C32+C23),"")</f>
        <v/>
      </c>
    </row>
    <row r="37" spans="2:3" ht="15" thickBot="1" x14ac:dyDescent="0.35">
      <c r="B37" s="21" t="s">
        <v>37</v>
      </c>
      <c r="C37" s="65" t="str">
        <f>IFERROR(ROUND(C33+C24,0),"")</f>
        <v/>
      </c>
    </row>
    <row r="38" spans="2:3" ht="6.75" customHeight="1" x14ac:dyDescent="0.3"/>
    <row r="39" spans="2:3" x14ac:dyDescent="0.3"/>
  </sheetData>
  <sheetProtection algorithmName="SHA-512" hashValue="PscO/u4MRqHj4kFcAei5alwro1eMtdWdY9b4jmyslLVvscLzJp/xJwl5OYKUxwel5NF3wuWo5+cjh+f0H9hehA==" saltValue="n7EqT+jA1S4fTug+GghoBw==" spinCount="100000" sheet="1" objects="1" scenarios="1"/>
  <mergeCells count="8">
    <mergeCell ref="A1:E1"/>
    <mergeCell ref="A2:E2"/>
    <mergeCell ref="B35:C35"/>
    <mergeCell ref="C10:D10"/>
    <mergeCell ref="B12:C12"/>
    <mergeCell ref="B4:D4"/>
    <mergeCell ref="B17:C17"/>
    <mergeCell ref="B26:C26"/>
  </mergeCells>
  <pageMargins left="0.7" right="0.7" top="0.75" bottom="0.75" header="0.3" footer="0.3"/>
  <pageSetup fitToWidth="0" fitToHeight="0" orientation="portrait" r:id="rId1"/>
  <headerFooter>
    <oddFooter>&amp;RPublish Date: Feb.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showGridLines="0" showRowColHeaders="0" zoomScaleNormal="100" workbookViewId="0">
      <selection sqref="A1:D1"/>
    </sheetView>
  </sheetViews>
  <sheetFormatPr defaultColWidth="0" defaultRowHeight="14.4" zeroHeight="1" x14ac:dyDescent="0.3"/>
  <cols>
    <col min="1" max="1" width="11.6640625" customWidth="1"/>
    <col min="2" max="2" width="35" bestFit="1" customWidth="1"/>
    <col min="3" max="3" width="15.33203125" customWidth="1"/>
    <col min="4" max="4" width="16.5546875" customWidth="1"/>
    <col min="5" max="5" width="4.33203125" customWidth="1"/>
    <col min="6" max="16384" width="9.109375" hidden="1"/>
  </cols>
  <sheetData>
    <row r="1" spans="1:4" ht="30" customHeight="1" x14ac:dyDescent="0.3">
      <c r="A1" s="136" t="s">
        <v>80</v>
      </c>
      <c r="B1" s="136"/>
      <c r="C1" s="136"/>
      <c r="D1" s="136"/>
    </row>
    <row r="2" spans="1:4" x14ac:dyDescent="0.3">
      <c r="A2" s="145" t="str">
        <f>"Corridor:   "&amp;'Corridor Information'!B2</f>
        <v xml:space="preserve">Corridor:   </v>
      </c>
      <c r="B2" s="145"/>
      <c r="C2" s="145"/>
      <c r="D2" s="145"/>
    </row>
    <row r="3" spans="1:4" ht="15" thickBot="1" x14ac:dyDescent="0.35"/>
    <row r="4" spans="1:4" ht="15" thickBot="1" x14ac:dyDescent="0.35">
      <c r="B4" s="146" t="s">
        <v>40</v>
      </c>
      <c r="C4" s="147"/>
    </row>
    <row r="5" spans="1:4" x14ac:dyDescent="0.3">
      <c r="B5" s="44" t="s">
        <v>42</v>
      </c>
      <c r="C5" s="90"/>
    </row>
    <row r="6" spans="1:4" x14ac:dyDescent="0.3">
      <c r="B6" s="16" t="s">
        <v>41</v>
      </c>
      <c r="C6" s="91"/>
    </row>
    <row r="7" spans="1:4" x14ac:dyDescent="0.3">
      <c r="B7" s="16" t="s">
        <v>43</v>
      </c>
      <c r="C7" s="91"/>
    </row>
    <row r="8" spans="1:4" x14ac:dyDescent="0.3">
      <c r="B8" s="16" t="s">
        <v>44</v>
      </c>
      <c r="C8" s="91"/>
    </row>
    <row r="9" spans="1:4" ht="15" thickBot="1" x14ac:dyDescent="0.35">
      <c r="B9" s="21" t="s">
        <v>46</v>
      </c>
      <c r="C9" s="45">
        <v>0.08</v>
      </c>
    </row>
    <row r="10" spans="1:4" ht="15" thickBot="1" x14ac:dyDescent="0.35"/>
    <row r="11" spans="1:4" ht="30" customHeight="1" thickBot="1" x14ac:dyDescent="0.35">
      <c r="B11" s="143" t="s">
        <v>75</v>
      </c>
      <c r="C11" s="144"/>
    </row>
    <row r="12" spans="1:4" x14ac:dyDescent="0.3">
      <c r="B12" s="44" t="s">
        <v>50</v>
      </c>
      <c r="C12" s="61">
        <f>'Reference Sheet'!D6</f>
        <v>11008</v>
      </c>
    </row>
    <row r="13" spans="1:4" x14ac:dyDescent="0.3">
      <c r="B13" s="16" t="s">
        <v>47</v>
      </c>
      <c r="C13" s="123">
        <f>(C8*C9)/3</f>
        <v>0</v>
      </c>
    </row>
    <row r="14" spans="1:4" ht="15" thickBot="1" x14ac:dyDescent="0.35">
      <c r="B14" s="21" t="s">
        <v>48</v>
      </c>
      <c r="C14" s="124">
        <f>ROUND(C13*C12,0)</f>
        <v>0</v>
      </c>
    </row>
    <row r="15" spans="1:4" ht="15" thickBot="1" x14ac:dyDescent="0.35"/>
    <row r="16" spans="1:4" ht="32.25" customHeight="1" thickBot="1" x14ac:dyDescent="0.35">
      <c r="B16" s="143" t="s">
        <v>76</v>
      </c>
      <c r="C16" s="144"/>
    </row>
    <row r="17" spans="2:3" x14ac:dyDescent="0.3">
      <c r="B17" s="44" t="s">
        <v>50</v>
      </c>
      <c r="C17" s="61">
        <f>'Reference Sheet'!D7</f>
        <v>72068</v>
      </c>
    </row>
    <row r="18" spans="2:3" x14ac:dyDescent="0.3">
      <c r="B18" s="16" t="s">
        <v>47</v>
      </c>
      <c r="C18" s="123">
        <f>(C9*C6)/3</f>
        <v>0</v>
      </c>
    </row>
    <row r="19" spans="2:3" ht="15" thickBot="1" x14ac:dyDescent="0.35">
      <c r="B19" s="21" t="s">
        <v>48</v>
      </c>
      <c r="C19" s="124">
        <f>ROUND(C18*C17,0)</f>
        <v>0</v>
      </c>
    </row>
    <row r="20" spans="2:3" ht="15" thickBot="1" x14ac:dyDescent="0.35"/>
    <row r="21" spans="2:3" ht="33" customHeight="1" thickBot="1" x14ac:dyDescent="0.35">
      <c r="B21" s="143" t="s">
        <v>77</v>
      </c>
      <c r="C21" s="144"/>
    </row>
    <row r="22" spans="2:3" x14ac:dyDescent="0.3">
      <c r="B22" s="44" t="s">
        <v>50</v>
      </c>
      <c r="C22" s="61">
        <f>ROUND('Reference Sheet'!D8,0)</f>
        <v>2142320</v>
      </c>
    </row>
    <row r="23" spans="2:3" x14ac:dyDescent="0.3">
      <c r="B23" s="16" t="s">
        <v>47</v>
      </c>
      <c r="C23" s="123">
        <f>(C7*C9)/3</f>
        <v>0</v>
      </c>
    </row>
    <row r="24" spans="2:3" ht="15" thickBot="1" x14ac:dyDescent="0.35">
      <c r="B24" s="21" t="s">
        <v>48</v>
      </c>
      <c r="C24" s="124">
        <f>ROUND(C23*C22,0)</f>
        <v>0</v>
      </c>
    </row>
    <row r="25" spans="2:3" ht="15" thickBot="1" x14ac:dyDescent="0.35"/>
    <row r="26" spans="2:3" ht="33" customHeight="1" thickBot="1" x14ac:dyDescent="0.35">
      <c r="B26" s="143" t="s">
        <v>78</v>
      </c>
      <c r="C26" s="144"/>
    </row>
    <row r="27" spans="2:3" x14ac:dyDescent="0.3">
      <c r="B27" s="44" t="s">
        <v>49</v>
      </c>
      <c r="C27" s="62">
        <f>SUM(C24,C19,C14)</f>
        <v>0</v>
      </c>
    </row>
    <row r="28" spans="2:3" ht="15" thickBot="1" x14ac:dyDescent="0.35">
      <c r="B28" s="21" t="s">
        <v>47</v>
      </c>
      <c r="C28" s="63">
        <f>ROUND(SUM(C23,C18,C13),0)</f>
        <v>0</v>
      </c>
    </row>
    <row r="29" spans="2:3" x14ac:dyDescent="0.3"/>
  </sheetData>
  <sheetProtection algorithmName="SHA-512" hashValue="VCtjjmmv0R0zAP+Xa+7hlXGUA+OisGoq6FFICJ4itU70wX3r2jyWzgNsfoedZCBv6UXFnMkW7hQ4YQwr5piyKw==" saltValue="XYfIpmU51S7yBZe86dD9Nw==" spinCount="100000" sheet="1" objects="1" scenarios="1"/>
  <mergeCells count="7">
    <mergeCell ref="B21:C21"/>
    <mergeCell ref="B26:C26"/>
    <mergeCell ref="A1:D1"/>
    <mergeCell ref="A2:D2"/>
    <mergeCell ref="B4:C4"/>
    <mergeCell ref="B11:C11"/>
    <mergeCell ref="B16:C16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showGridLines="0" showRowColHeaders="0" zoomScaleNormal="100" workbookViewId="0">
      <selection sqref="A1:E1"/>
    </sheetView>
  </sheetViews>
  <sheetFormatPr defaultColWidth="0" defaultRowHeight="14.4" zeroHeight="1" x14ac:dyDescent="0.3"/>
  <cols>
    <col min="1" max="1" width="9.44140625" customWidth="1"/>
    <col min="2" max="2" width="32.88671875" customWidth="1"/>
    <col min="3" max="3" width="15.44140625" customWidth="1"/>
    <col min="4" max="4" width="15.88671875" customWidth="1"/>
    <col min="5" max="5" width="14.88671875" customWidth="1"/>
    <col min="6" max="6" width="5.6640625" hidden="1" customWidth="1"/>
    <col min="7" max="16384" width="9.109375" hidden="1"/>
  </cols>
  <sheetData>
    <row r="1" spans="1:5" ht="30" customHeight="1" x14ac:dyDescent="0.3">
      <c r="A1" s="136" t="s">
        <v>81</v>
      </c>
      <c r="B1" s="136"/>
      <c r="C1" s="136"/>
      <c r="D1" s="136"/>
      <c r="E1" s="136"/>
    </row>
    <row r="2" spans="1:5" x14ac:dyDescent="0.3">
      <c r="A2" s="137" t="str">
        <f>"Corridor:  "&amp;'Corridor Information'!B2</f>
        <v xml:space="preserve">Corridor:  </v>
      </c>
      <c r="B2" s="137"/>
      <c r="C2" s="137"/>
      <c r="D2" s="137"/>
      <c r="E2" s="137"/>
    </row>
    <row r="3" spans="1:5" ht="15" thickBot="1" x14ac:dyDescent="0.35"/>
    <row r="4" spans="1:5" ht="15" thickBot="1" x14ac:dyDescent="0.35">
      <c r="B4" s="130" t="s">
        <v>54</v>
      </c>
      <c r="C4" s="141"/>
      <c r="D4" s="131"/>
    </row>
    <row r="5" spans="1:5" ht="29.4" thickBot="1" x14ac:dyDescent="0.35">
      <c r="B5" s="19" t="s">
        <v>24</v>
      </c>
      <c r="C5" s="18" t="s">
        <v>57</v>
      </c>
      <c r="D5" s="8" t="s">
        <v>58</v>
      </c>
    </row>
    <row r="6" spans="1:5" x14ac:dyDescent="0.3">
      <c r="B6" s="10" t="s">
        <v>25</v>
      </c>
      <c r="C6" s="86"/>
      <c r="D6" s="87"/>
    </row>
    <row r="7" spans="1:5" x14ac:dyDescent="0.3">
      <c r="B7" s="11" t="s">
        <v>26</v>
      </c>
      <c r="C7" s="88"/>
      <c r="D7" s="89"/>
    </row>
    <row r="8" spans="1:5" ht="15" thickBot="1" x14ac:dyDescent="0.35">
      <c r="B8" s="30" t="s">
        <v>27</v>
      </c>
      <c r="C8" s="128"/>
      <c r="D8" s="129"/>
    </row>
    <row r="9" spans="1:5" x14ac:dyDescent="0.3">
      <c r="B9" s="125" t="s">
        <v>98</v>
      </c>
      <c r="C9" s="126">
        <f>SUM(C6:C8)</f>
        <v>0</v>
      </c>
      <c r="D9" s="127">
        <f>SUM(D6:D8)</f>
        <v>0</v>
      </c>
    </row>
    <row r="10" spans="1:5" x14ac:dyDescent="0.3">
      <c r="B10" s="58" t="s">
        <v>101</v>
      </c>
      <c r="C10" s="59">
        <f>C9*0.37</f>
        <v>0</v>
      </c>
      <c r="D10" s="60">
        <f>D9*0.37</f>
        <v>0</v>
      </c>
    </row>
    <row r="11" spans="1:5" ht="15" thickBot="1" x14ac:dyDescent="0.35">
      <c r="B11" s="13" t="s">
        <v>30</v>
      </c>
      <c r="C11" s="150">
        <f>C10-D10</f>
        <v>0</v>
      </c>
      <c r="D11" s="151"/>
    </row>
    <row r="12" spans="1:5" ht="15" thickBot="1" x14ac:dyDescent="0.35"/>
    <row r="13" spans="1:5" ht="15" thickBot="1" x14ac:dyDescent="0.35">
      <c r="B13" s="152" t="s">
        <v>118</v>
      </c>
      <c r="C13" s="153"/>
    </row>
    <row r="14" spans="1:5" x14ac:dyDescent="0.3">
      <c r="B14" s="27" t="s">
        <v>31</v>
      </c>
      <c r="C14" s="25">
        <f>'Corridor Information'!C9</f>
        <v>0</v>
      </c>
    </row>
    <row r="15" spans="1:5" ht="15" thickBot="1" x14ac:dyDescent="0.35">
      <c r="B15" s="28" t="s">
        <v>53</v>
      </c>
      <c r="C15" s="29">
        <v>260</v>
      </c>
    </row>
    <row r="16" spans="1:5" ht="15" thickBot="1" x14ac:dyDescent="0.35"/>
    <row r="17" spans="2:3" ht="15" thickBot="1" x14ac:dyDescent="0.35">
      <c r="B17" s="148" t="s">
        <v>105</v>
      </c>
      <c r="C17" s="149"/>
    </row>
    <row r="18" spans="2:3" x14ac:dyDescent="0.3">
      <c r="B18" s="27" t="s">
        <v>55</v>
      </c>
      <c r="C18" s="49">
        <f>'Reference Sheet'!D12</f>
        <v>3.41</v>
      </c>
    </row>
    <row r="19" spans="2:3" x14ac:dyDescent="0.3">
      <c r="B19" s="68" t="s">
        <v>103</v>
      </c>
      <c r="C19" s="70">
        <f>ROUND(C11*C15*VLOOKUP('Corridor Information'!C11,'functional classifications'!A2:C11,3),0)</f>
        <v>0</v>
      </c>
    </row>
    <row r="20" spans="2:3" ht="15" thickBot="1" x14ac:dyDescent="0.35">
      <c r="B20" s="28" t="s">
        <v>56</v>
      </c>
      <c r="C20" s="69">
        <f>ROUND(C18*C11*C15*VLOOKUP('Corridor Information'!C11,'functional classifications'!A2:C11,3),0)</f>
        <v>0</v>
      </c>
    </row>
    <row r="21" spans="2:3" x14ac:dyDescent="0.3"/>
  </sheetData>
  <sheetProtection algorithmName="SHA-512" hashValue="7Y5VT2qVs/FoIv64wyHjZfPj7Dq4dsHK3xljQLIZmRDrD4hF4Gn8dYHxo5CzVzDHvYI+qjUvhzSJR88WOuM7hQ==" saltValue="cTczS4ciqVH6ArAqSOQsCQ==" spinCount="100000" sheet="1" objects="1" scenarios="1"/>
  <mergeCells count="6">
    <mergeCell ref="B17:C17"/>
    <mergeCell ref="A1:E1"/>
    <mergeCell ref="A2:E2"/>
    <mergeCell ref="B4:D4"/>
    <mergeCell ref="C11:D11"/>
    <mergeCell ref="B13:C13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showGridLines="0" showRowColHeaders="0" zoomScaleNormal="100" workbookViewId="0">
      <selection sqref="A1:E1"/>
    </sheetView>
  </sheetViews>
  <sheetFormatPr defaultColWidth="0" defaultRowHeight="14.4" zeroHeight="1" x14ac:dyDescent="0.3"/>
  <cols>
    <col min="1" max="1" width="9.109375" customWidth="1"/>
    <col min="2" max="2" width="32.6640625" customWidth="1"/>
    <col min="3" max="4" width="16.88671875" customWidth="1"/>
    <col min="5" max="5" width="14.33203125" customWidth="1"/>
    <col min="6" max="6" width="3.44140625" hidden="1" customWidth="1"/>
    <col min="7" max="16384" width="9.109375" hidden="1"/>
  </cols>
  <sheetData>
    <row r="1" spans="1:5" ht="30" customHeight="1" x14ac:dyDescent="0.3">
      <c r="A1" s="136" t="s">
        <v>82</v>
      </c>
      <c r="B1" s="136"/>
      <c r="C1" s="136"/>
      <c r="D1" s="136"/>
      <c r="E1" s="136"/>
    </row>
    <row r="2" spans="1:5" x14ac:dyDescent="0.3">
      <c r="A2" s="137" t="str">
        <f>"Corridor:  "&amp;'Corridor Information'!B2</f>
        <v xml:space="preserve">Corridor:  </v>
      </c>
      <c r="B2" s="137"/>
      <c r="C2" s="137"/>
      <c r="D2" s="137"/>
      <c r="E2" s="137"/>
    </row>
    <row r="3" spans="1:5" ht="15" thickBot="1" x14ac:dyDescent="0.35"/>
    <row r="4" spans="1:5" ht="31.5" customHeight="1" thickBot="1" x14ac:dyDescent="0.35">
      <c r="B4" s="156" t="s">
        <v>110</v>
      </c>
      <c r="C4" s="157"/>
      <c r="D4" s="158"/>
    </row>
    <row r="5" spans="1:5" ht="29.4" thickBot="1" x14ac:dyDescent="0.35">
      <c r="B5" s="19" t="s">
        <v>24</v>
      </c>
      <c r="C5" s="18" t="s">
        <v>95</v>
      </c>
      <c r="D5" s="8" t="s">
        <v>97</v>
      </c>
    </row>
    <row r="6" spans="1:5" x14ac:dyDescent="0.3">
      <c r="B6" s="10" t="s">
        <v>25</v>
      </c>
      <c r="C6" s="78"/>
      <c r="D6" s="79"/>
    </row>
    <row r="7" spans="1:5" x14ac:dyDescent="0.3">
      <c r="B7" s="11" t="s">
        <v>26</v>
      </c>
      <c r="C7" s="80"/>
      <c r="D7" s="81"/>
    </row>
    <row r="8" spans="1:5" ht="15" thickBot="1" x14ac:dyDescent="0.35">
      <c r="B8" s="31" t="s">
        <v>27</v>
      </c>
      <c r="C8" s="82"/>
      <c r="D8" s="83"/>
    </row>
    <row r="9" spans="1:5" x14ac:dyDescent="0.3">
      <c r="B9" s="33" t="s">
        <v>96</v>
      </c>
      <c r="C9" s="34">
        <f>SUM(C6:C8)*0.001</f>
        <v>0</v>
      </c>
      <c r="D9" s="32">
        <f>SUM(D6:D8)*0.001</f>
        <v>0</v>
      </c>
    </row>
    <row r="10" spans="1:5" ht="15" thickBot="1" x14ac:dyDescent="0.35">
      <c r="B10" s="13" t="s">
        <v>107</v>
      </c>
      <c r="C10" s="154">
        <f>(C9-D9)*0.001</f>
        <v>0</v>
      </c>
      <c r="D10" s="155"/>
    </row>
    <row r="11" spans="1:5" ht="15" thickBot="1" x14ac:dyDescent="0.35"/>
    <row r="12" spans="1:5" ht="35.25" customHeight="1" thickBot="1" x14ac:dyDescent="0.35">
      <c r="B12" s="156" t="s">
        <v>111</v>
      </c>
      <c r="C12" s="157"/>
      <c r="D12" s="158"/>
    </row>
    <row r="13" spans="1:5" ht="29.4" thickBot="1" x14ac:dyDescent="0.35">
      <c r="B13" s="19" t="s">
        <v>24</v>
      </c>
      <c r="C13" s="18" t="s">
        <v>95</v>
      </c>
      <c r="D13" s="8" t="s">
        <v>97</v>
      </c>
    </row>
    <row r="14" spans="1:5" x14ac:dyDescent="0.3">
      <c r="B14" s="10" t="s">
        <v>25</v>
      </c>
      <c r="C14" s="78"/>
      <c r="D14" s="79"/>
    </row>
    <row r="15" spans="1:5" x14ac:dyDescent="0.3">
      <c r="B15" s="11" t="s">
        <v>26</v>
      </c>
      <c r="C15" s="80"/>
      <c r="D15" s="81"/>
    </row>
    <row r="16" spans="1:5" ht="15" thickBot="1" x14ac:dyDescent="0.35">
      <c r="B16" s="30" t="s">
        <v>27</v>
      </c>
      <c r="C16" s="84"/>
      <c r="D16" s="85"/>
    </row>
    <row r="17" spans="2:5" x14ac:dyDescent="0.3">
      <c r="B17" s="33" t="s">
        <v>96</v>
      </c>
      <c r="C17" s="34">
        <f>SUM(C14:C16)*0.001</f>
        <v>0</v>
      </c>
      <c r="D17" s="32">
        <f>SUM(D14:D16)*0.001</f>
        <v>0</v>
      </c>
    </row>
    <row r="18" spans="2:5" ht="15" thickBot="1" x14ac:dyDescent="0.35">
      <c r="B18" s="13" t="s">
        <v>107</v>
      </c>
      <c r="C18" s="154">
        <f>(C17-D17)*0.001</f>
        <v>0</v>
      </c>
      <c r="D18" s="155"/>
    </row>
    <row r="19" spans="2:5" ht="15" thickBot="1" x14ac:dyDescent="0.35"/>
    <row r="20" spans="2:5" ht="30" customHeight="1" thickBot="1" x14ac:dyDescent="0.35">
      <c r="B20" s="156" t="s">
        <v>112</v>
      </c>
      <c r="C20" s="157"/>
      <c r="D20" s="158"/>
    </row>
    <row r="21" spans="2:5" ht="29.4" thickBot="1" x14ac:dyDescent="0.35">
      <c r="B21" s="19" t="s">
        <v>24</v>
      </c>
      <c r="C21" s="18" t="s">
        <v>95</v>
      </c>
      <c r="D21" s="8" t="s">
        <v>97</v>
      </c>
    </row>
    <row r="22" spans="2:5" x14ac:dyDescent="0.3">
      <c r="B22" s="10" t="s">
        <v>25</v>
      </c>
      <c r="C22" s="78"/>
      <c r="D22" s="79"/>
    </row>
    <row r="23" spans="2:5" x14ac:dyDescent="0.3">
      <c r="B23" s="11" t="s">
        <v>26</v>
      </c>
      <c r="C23" s="80"/>
      <c r="D23" s="81"/>
    </row>
    <row r="24" spans="2:5" ht="15" thickBot="1" x14ac:dyDescent="0.35">
      <c r="B24" s="31" t="s">
        <v>27</v>
      </c>
      <c r="C24" s="82"/>
      <c r="D24" s="83"/>
      <c r="E24" s="57"/>
    </row>
    <row r="25" spans="2:5" x14ac:dyDescent="0.3">
      <c r="B25" s="33" t="s">
        <v>98</v>
      </c>
      <c r="C25" s="34">
        <f>SUM(C22:C24)*0.001</f>
        <v>0</v>
      </c>
      <c r="D25" s="32">
        <f>SUM(D22:D24)*0.001</f>
        <v>0</v>
      </c>
    </row>
    <row r="26" spans="2:5" ht="15" thickBot="1" x14ac:dyDescent="0.35">
      <c r="B26" s="13" t="s">
        <v>107</v>
      </c>
      <c r="C26" s="154">
        <f>(C25-D25)*0.001</f>
        <v>0</v>
      </c>
      <c r="D26" s="155"/>
    </row>
    <row r="27" spans="2:5" ht="15" thickBot="1" x14ac:dyDescent="0.35"/>
    <row r="28" spans="2:5" ht="15" thickBot="1" x14ac:dyDescent="0.35">
      <c r="B28" s="159" t="s">
        <v>104</v>
      </c>
      <c r="C28" s="160"/>
      <c r="D28" s="161"/>
    </row>
    <row r="29" spans="2:5" x14ac:dyDescent="0.3">
      <c r="B29" s="14" t="s">
        <v>106</v>
      </c>
      <c r="C29" s="162">
        <f>ROUND((C10*'Reference Sheet'!D9)*260*VLOOKUP('Corridor Information'!C11,'functional classifications'!A2:C11,3),0)</f>
        <v>0</v>
      </c>
      <c r="D29" s="163"/>
    </row>
    <row r="30" spans="2:5" x14ac:dyDescent="0.3">
      <c r="B30" s="15" t="s">
        <v>59</v>
      </c>
      <c r="C30" s="164">
        <f>ROUND((C18*260)*'Reference Sheet'!D10*VLOOKUP('Corridor Information'!C11,'functional classifications'!A2:C11,3),0)</f>
        <v>0</v>
      </c>
      <c r="D30" s="165"/>
    </row>
    <row r="31" spans="2:5" x14ac:dyDescent="0.3">
      <c r="B31" s="15" t="s">
        <v>60</v>
      </c>
      <c r="C31" s="164">
        <f>ROUND((C26*260)*'Reference Sheet'!D11*VLOOKUP('Corridor Information'!C11,'functional classifications'!A2:C11,3),0)</f>
        <v>0</v>
      </c>
      <c r="D31" s="165"/>
    </row>
    <row r="32" spans="2:5" x14ac:dyDescent="0.3">
      <c r="B32" s="15" t="s">
        <v>108</v>
      </c>
      <c r="C32" s="168">
        <f>ROUND(SUM(C26,C18,C10)*1000,1)</f>
        <v>0</v>
      </c>
      <c r="D32" s="169"/>
    </row>
    <row r="33" spans="2:4" ht="15" thickBot="1" x14ac:dyDescent="0.35">
      <c r="B33" s="72" t="s">
        <v>61</v>
      </c>
      <c r="C33" s="166">
        <f>SUM(C29:D31)</f>
        <v>0</v>
      </c>
      <c r="D33" s="167"/>
    </row>
    <row r="34" spans="2:4" ht="9" customHeight="1" x14ac:dyDescent="0.3"/>
    <row r="35" spans="2:4" x14ac:dyDescent="0.3"/>
  </sheetData>
  <sheetProtection algorithmName="SHA-512" hashValue="Skd8HT+M4iko4kdjMpD8tKT2d8BzUj9I67W+bHB6Zd/qyn4M5LNa/E1V3lHj4J2K3ijbTOI01bOskUy69k4byA==" saltValue="DTFFr1F/6vKD/jZaAjXvHw==" spinCount="100000" sheet="1" objects="1" scenarios="1"/>
  <mergeCells count="14">
    <mergeCell ref="B28:D28"/>
    <mergeCell ref="C29:D29"/>
    <mergeCell ref="C30:D30"/>
    <mergeCell ref="C31:D31"/>
    <mergeCell ref="C33:D33"/>
    <mergeCell ref="C32:D32"/>
    <mergeCell ref="C26:D26"/>
    <mergeCell ref="C10:D10"/>
    <mergeCell ref="C18:D18"/>
    <mergeCell ref="A1:E1"/>
    <mergeCell ref="A2:E2"/>
    <mergeCell ref="B4:D4"/>
    <mergeCell ref="B12:D12"/>
    <mergeCell ref="B20:D20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FC82"/>
  <sheetViews>
    <sheetView showGridLines="0" zoomScale="85" zoomScaleNormal="85" workbookViewId="0">
      <selection activeCell="C29" sqref="C29"/>
    </sheetView>
  </sheetViews>
  <sheetFormatPr defaultColWidth="0" defaultRowHeight="14.4" x14ac:dyDescent="0.3"/>
  <cols>
    <col min="1" max="1" width="24.5546875" style="111" customWidth="1"/>
    <col min="2" max="2" width="32.5546875" style="109" bestFit="1" customWidth="1"/>
    <col min="3" max="3" width="22.33203125" style="109" customWidth="1"/>
    <col min="4" max="4" width="14.33203125" style="110" bestFit="1" customWidth="1"/>
    <col min="5" max="5" width="25.5546875" style="111" bestFit="1" customWidth="1"/>
    <col min="6" max="6" width="49.6640625" style="109" customWidth="1"/>
    <col min="7" max="12" width="0" hidden="1" customWidth="1"/>
    <col min="13" max="16383" width="9.109375" hidden="1"/>
    <col min="16384" max="16384" width="8.44140625" customWidth="1"/>
  </cols>
  <sheetData>
    <row r="1" spans="1:12" ht="17.399999999999999" x14ac:dyDescent="0.3">
      <c r="A1" s="133" t="s">
        <v>128</v>
      </c>
      <c r="B1" s="133"/>
      <c r="C1" s="133"/>
      <c r="D1" s="133"/>
      <c r="E1" s="133"/>
      <c r="F1" s="103"/>
      <c r="G1" s="103"/>
    </row>
    <row r="2" spans="1:12" x14ac:dyDescent="0.3">
      <c r="A2"/>
      <c r="B2"/>
      <c r="C2"/>
      <c r="D2" s="112"/>
      <c r="E2" s="1"/>
      <c r="F2" s="1"/>
      <c r="G2" s="1"/>
    </row>
    <row r="3" spans="1:12" s="4" customFormat="1" ht="43.2" x14ac:dyDescent="0.3">
      <c r="A3" s="113" t="s">
        <v>0</v>
      </c>
      <c r="B3" s="113" t="s">
        <v>1</v>
      </c>
      <c r="C3" s="113" t="s">
        <v>2</v>
      </c>
      <c r="D3" s="114" t="s">
        <v>127</v>
      </c>
      <c r="E3" s="115" t="s">
        <v>3</v>
      </c>
      <c r="F3" s="104"/>
      <c r="G3" s="104"/>
    </row>
    <row r="4" spans="1:12" x14ac:dyDescent="0.3">
      <c r="A4" s="172" t="s">
        <v>4</v>
      </c>
      <c r="B4" s="170" t="s">
        <v>5</v>
      </c>
      <c r="C4" s="116" t="s">
        <v>6</v>
      </c>
      <c r="D4" s="117">
        <v>23.12</v>
      </c>
      <c r="E4" s="174" t="s">
        <v>7</v>
      </c>
      <c r="F4" s="105"/>
      <c r="G4" s="105"/>
    </row>
    <row r="5" spans="1:12" x14ac:dyDescent="0.3">
      <c r="A5" s="173"/>
      <c r="B5" s="171"/>
      <c r="C5" s="116" t="s">
        <v>8</v>
      </c>
      <c r="D5" s="117">
        <v>64.680000000000007</v>
      </c>
      <c r="E5" s="175"/>
      <c r="F5" s="105"/>
      <c r="G5" s="105"/>
    </row>
    <row r="6" spans="1:12" x14ac:dyDescent="0.3">
      <c r="A6" s="172" t="s">
        <v>9</v>
      </c>
      <c r="B6" s="118" t="s">
        <v>10</v>
      </c>
      <c r="C6" s="116" t="s">
        <v>11</v>
      </c>
      <c r="D6" s="117">
        <v>11008</v>
      </c>
      <c r="E6" s="174" t="s">
        <v>120</v>
      </c>
      <c r="F6" s="105"/>
      <c r="G6" s="105"/>
    </row>
    <row r="7" spans="1:12" x14ac:dyDescent="0.3">
      <c r="A7" s="176"/>
      <c r="B7" s="118" t="s">
        <v>45</v>
      </c>
      <c r="C7" s="116" t="s">
        <v>11</v>
      </c>
      <c r="D7" s="117">
        <v>72068</v>
      </c>
      <c r="E7" s="177"/>
      <c r="F7" s="105"/>
      <c r="G7" s="105"/>
    </row>
    <row r="8" spans="1:12" x14ac:dyDescent="0.3">
      <c r="A8" s="173"/>
      <c r="B8" s="118" t="s">
        <v>12</v>
      </c>
      <c r="C8" s="116" t="s">
        <v>11</v>
      </c>
      <c r="D8" s="117">
        <v>2142320</v>
      </c>
      <c r="E8" s="175"/>
      <c r="F8" s="105"/>
      <c r="G8" s="105"/>
    </row>
    <row r="9" spans="1:12" x14ac:dyDescent="0.3">
      <c r="A9" s="172" t="s">
        <v>13</v>
      </c>
      <c r="B9" s="118" t="s">
        <v>14</v>
      </c>
      <c r="C9" s="116" t="s">
        <v>15</v>
      </c>
      <c r="D9" s="117">
        <v>175</v>
      </c>
      <c r="E9" s="174" t="s">
        <v>121</v>
      </c>
      <c r="F9" s="105"/>
      <c r="G9" s="105"/>
    </row>
    <row r="10" spans="1:12" x14ac:dyDescent="0.3">
      <c r="A10" s="176"/>
      <c r="B10" s="118" t="s">
        <v>17</v>
      </c>
      <c r="C10" s="116" t="s">
        <v>15</v>
      </c>
      <c r="D10" s="117">
        <v>6344</v>
      </c>
      <c r="E10" s="177"/>
      <c r="F10" s="105"/>
      <c r="G10" s="105"/>
    </row>
    <row r="11" spans="1:12" x14ac:dyDescent="0.3">
      <c r="A11" s="173"/>
      <c r="B11" s="118" t="s">
        <v>18</v>
      </c>
      <c r="C11" s="116" t="s">
        <v>15</v>
      </c>
      <c r="D11" s="117">
        <v>4813</v>
      </c>
      <c r="E11" s="175"/>
      <c r="F11" s="105"/>
      <c r="G11" s="105"/>
    </row>
    <row r="12" spans="1:12" x14ac:dyDescent="0.3">
      <c r="A12" s="119" t="s">
        <v>19</v>
      </c>
      <c r="B12" s="118" t="s">
        <v>20</v>
      </c>
      <c r="C12" s="116" t="s">
        <v>21</v>
      </c>
      <c r="D12" s="120">
        <v>3.41</v>
      </c>
      <c r="E12" s="121" t="s">
        <v>16</v>
      </c>
      <c r="F12" s="105"/>
      <c r="G12" s="105"/>
    </row>
    <row r="13" spans="1:12" x14ac:dyDescent="0.3">
      <c r="A13" s="1"/>
      <c r="B13"/>
      <c r="C13"/>
      <c r="D13" s="112"/>
      <c r="E13" s="1"/>
      <c r="F13" s="1"/>
      <c r="G13" s="1"/>
    </row>
    <row r="14" spans="1:12" x14ac:dyDescent="0.3">
      <c r="A14" s="2" t="s">
        <v>22</v>
      </c>
      <c r="B14"/>
      <c r="C14"/>
      <c r="D14" s="112"/>
      <c r="E14" s="1"/>
      <c r="F14" s="1"/>
      <c r="G14" s="1"/>
    </row>
    <row r="15" spans="1:12" x14ac:dyDescent="0.3">
      <c r="A15" s="178" t="s">
        <v>129</v>
      </c>
      <c r="B15" s="178"/>
      <c r="C15" s="178"/>
      <c r="D15" s="178"/>
      <c r="E15" s="178"/>
      <c r="F15" s="1"/>
      <c r="G15" s="2"/>
      <c r="H15" s="3"/>
      <c r="I15" s="3"/>
      <c r="J15" s="3"/>
      <c r="K15" s="3"/>
      <c r="L15" s="3"/>
    </row>
    <row r="16" spans="1:12" x14ac:dyDescent="0.3">
      <c r="A16" s="178" t="s">
        <v>130</v>
      </c>
      <c r="B16" s="178"/>
      <c r="C16" s="178"/>
      <c r="D16" s="178"/>
      <c r="E16" s="178"/>
      <c r="F16" s="178"/>
      <c r="G16" s="2"/>
      <c r="H16" s="3"/>
      <c r="I16" s="3"/>
      <c r="J16" s="3"/>
      <c r="K16" s="3"/>
      <c r="L16" s="3"/>
    </row>
    <row r="17" spans="1:12" x14ac:dyDescent="0.3">
      <c r="A17" s="179" t="s">
        <v>133</v>
      </c>
      <c r="B17" s="179"/>
      <c r="C17" s="179"/>
      <c r="D17" s="179"/>
      <c r="E17" s="179"/>
      <c r="F17" s="179"/>
      <c r="G17" s="179"/>
      <c r="H17" s="3"/>
      <c r="I17" s="3"/>
      <c r="J17" s="3"/>
      <c r="K17" s="3"/>
      <c r="L17" s="3"/>
    </row>
    <row r="18" spans="1:12" x14ac:dyDescent="0.3">
      <c r="A18" s="178" t="s">
        <v>122</v>
      </c>
      <c r="B18" s="178"/>
      <c r="C18" s="178"/>
      <c r="D18" s="178"/>
      <c r="E18" s="178"/>
      <c r="F18" s="178"/>
      <c r="G18" s="2"/>
      <c r="H18" s="3"/>
      <c r="I18" s="3"/>
      <c r="J18" s="3"/>
      <c r="K18" s="3"/>
      <c r="L18" s="3"/>
    </row>
    <row r="19" spans="1:12" x14ac:dyDescent="0.3">
      <c r="A19" s="178" t="s">
        <v>126</v>
      </c>
      <c r="B19" s="178"/>
      <c r="C19" s="178"/>
      <c r="D19" s="178"/>
      <c r="E19" s="178"/>
      <c r="F19" s="2"/>
      <c r="G19" s="2"/>
      <c r="H19" s="3"/>
      <c r="I19" s="3"/>
      <c r="J19" s="3"/>
      <c r="K19" s="3"/>
      <c r="L19" s="3"/>
    </row>
    <row r="20" spans="1:12" x14ac:dyDescent="0.3">
      <c r="A20" s="178" t="s">
        <v>123</v>
      </c>
      <c r="B20" s="178"/>
      <c r="C20" s="178"/>
      <c r="D20" s="178"/>
      <c r="E20" s="178"/>
      <c r="F20" s="2"/>
      <c r="G20" s="2"/>
      <c r="H20" s="3"/>
      <c r="I20" s="3"/>
      <c r="J20" s="3"/>
      <c r="K20" s="3"/>
      <c r="L20" s="3"/>
    </row>
    <row r="21" spans="1:12" x14ac:dyDescent="0.3">
      <c r="A21" s="178" t="s">
        <v>131</v>
      </c>
      <c r="B21" s="178"/>
      <c r="C21" s="178"/>
      <c r="D21" s="178"/>
      <c r="E21" s="178"/>
      <c r="F21" s="2"/>
      <c r="G21" s="2"/>
      <c r="H21" s="3"/>
      <c r="I21" s="3"/>
      <c r="J21" s="3"/>
      <c r="K21" s="3"/>
      <c r="L21" s="3"/>
    </row>
    <row r="22" spans="1:12" x14ac:dyDescent="0.3">
      <c r="A22" s="2" t="s">
        <v>124</v>
      </c>
      <c r="B22" s="3"/>
      <c r="C22" s="3"/>
      <c r="D22" s="122"/>
      <c r="E22" s="2"/>
      <c r="F22" s="2"/>
      <c r="G22" s="2"/>
      <c r="H22" s="3"/>
      <c r="I22" s="3"/>
      <c r="J22" s="3"/>
      <c r="K22" s="3"/>
      <c r="L22" s="3"/>
    </row>
    <row r="23" spans="1:12" x14ac:dyDescent="0.3">
      <c r="A23" s="2" t="s">
        <v>132</v>
      </c>
      <c r="B23" s="3"/>
      <c r="C23" s="3"/>
      <c r="D23" s="122"/>
      <c r="E23" s="2"/>
      <c r="F23" s="2"/>
      <c r="G23" s="2"/>
      <c r="H23" s="3"/>
      <c r="I23" s="3"/>
      <c r="J23" s="3"/>
      <c r="K23" s="3"/>
      <c r="L23" s="3"/>
    </row>
    <row r="24" spans="1:12" x14ac:dyDescent="0.3">
      <c r="A24" s="2" t="s">
        <v>117</v>
      </c>
      <c r="B24" s="3"/>
      <c r="C24" s="3"/>
      <c r="D24" s="122"/>
      <c r="E24" s="2"/>
      <c r="F24" s="2"/>
      <c r="G24" s="2"/>
      <c r="H24" s="3"/>
      <c r="I24" s="3"/>
      <c r="J24" s="3"/>
      <c r="K24" s="3"/>
      <c r="L24" s="3"/>
    </row>
    <row r="25" spans="1:12" x14ac:dyDescent="0.3">
      <c r="A25" s="2" t="s">
        <v>84</v>
      </c>
      <c r="B25" s="3"/>
      <c r="C25" s="3"/>
      <c r="D25" s="122"/>
      <c r="E25" s="2"/>
      <c r="F25" s="2"/>
      <c r="G25" s="2"/>
      <c r="H25" s="3"/>
      <c r="I25" s="3"/>
      <c r="J25" s="3"/>
      <c r="K25" s="3"/>
      <c r="L25" s="3"/>
    </row>
    <row r="26" spans="1:12" x14ac:dyDescent="0.3">
      <c r="A26" s="2" t="s">
        <v>125</v>
      </c>
      <c r="B26" s="3"/>
      <c r="C26" s="3"/>
      <c r="D26" s="122"/>
      <c r="E26" s="2"/>
      <c r="F26" s="2"/>
      <c r="G26" s="2"/>
      <c r="H26" s="3"/>
      <c r="I26" s="3"/>
      <c r="J26" s="3"/>
      <c r="K26" s="3"/>
      <c r="L26" s="3"/>
    </row>
    <row r="27" spans="1:12" x14ac:dyDescent="0.3">
      <c r="A27" s="2"/>
      <c r="B27" s="3"/>
      <c r="C27" s="3"/>
      <c r="D27" s="122"/>
      <c r="E27" s="2"/>
      <c r="F27" s="2"/>
      <c r="G27" s="2"/>
      <c r="H27" s="3"/>
      <c r="I27" s="3"/>
      <c r="J27" s="3"/>
      <c r="K27" s="3"/>
      <c r="L27" s="3"/>
    </row>
    <row r="28" spans="1:12" x14ac:dyDescent="0.3">
      <c r="A28" s="2"/>
      <c r="B28" s="3"/>
      <c r="C28" s="3"/>
      <c r="D28" s="122"/>
      <c r="E28" s="2"/>
      <c r="F28" s="2"/>
      <c r="G28" s="2"/>
      <c r="H28" s="3"/>
      <c r="I28" s="3"/>
      <c r="J28" s="3"/>
      <c r="K28" s="3"/>
      <c r="L28" s="3"/>
    </row>
    <row r="29" spans="1:12" x14ac:dyDescent="0.3">
      <c r="A29" s="2"/>
      <c r="B29" s="3"/>
      <c r="C29" s="3"/>
      <c r="D29" s="122"/>
      <c r="E29" s="2"/>
      <c r="F29" s="2"/>
      <c r="G29" s="108"/>
      <c r="H29" s="3"/>
      <c r="I29" s="3"/>
      <c r="J29" s="3"/>
      <c r="K29" s="3"/>
      <c r="L29" s="3"/>
    </row>
    <row r="30" spans="1:12" x14ac:dyDescent="0.3">
      <c r="A30" s="2"/>
      <c r="B30" s="3"/>
      <c r="C30" s="3"/>
      <c r="D30" s="122"/>
      <c r="E30" s="2"/>
      <c r="F30" s="2"/>
      <c r="G30" s="2"/>
      <c r="H30" s="3"/>
      <c r="I30" s="3"/>
      <c r="J30" s="3"/>
      <c r="K30" s="3"/>
      <c r="L30" s="3"/>
    </row>
    <row r="31" spans="1:12" x14ac:dyDescent="0.3">
      <c r="A31" s="2"/>
      <c r="B31" s="3"/>
      <c r="C31" s="3"/>
      <c r="D31" s="122"/>
      <c r="E31" s="2"/>
      <c r="F31" s="2"/>
      <c r="G31" s="2"/>
      <c r="H31" s="3"/>
      <c r="I31" s="3"/>
      <c r="J31" s="3"/>
      <c r="K31" s="3"/>
      <c r="L31" s="3"/>
    </row>
    <row r="32" spans="1:12" x14ac:dyDescent="0.3">
      <c r="A32" s="108"/>
      <c r="B32" s="106"/>
      <c r="C32" s="106"/>
      <c r="D32" s="107"/>
      <c r="E32" s="108"/>
      <c r="F32" s="108"/>
      <c r="G32" s="2"/>
      <c r="H32" s="3"/>
      <c r="I32" s="3"/>
      <c r="J32" s="3"/>
      <c r="K32" s="3"/>
      <c r="L32" s="3"/>
    </row>
    <row r="33" spans="1:12" x14ac:dyDescent="0.3">
      <c r="A33" s="108"/>
      <c r="B33" s="106"/>
      <c r="C33" s="106"/>
      <c r="D33" s="107"/>
      <c r="E33" s="108"/>
      <c r="F33" s="108"/>
      <c r="G33" s="2"/>
      <c r="H33" s="3"/>
      <c r="I33" s="3"/>
      <c r="J33" s="3"/>
      <c r="K33" s="3"/>
      <c r="L33" s="3"/>
    </row>
    <row r="34" spans="1:12" x14ac:dyDescent="0.3">
      <c r="A34" s="108"/>
      <c r="B34" s="106"/>
      <c r="C34" s="106"/>
      <c r="D34" s="107"/>
      <c r="E34" s="108"/>
      <c r="F34" s="108"/>
      <c r="G34" s="2"/>
      <c r="H34" s="3"/>
      <c r="I34" s="3"/>
      <c r="J34" s="3"/>
      <c r="K34" s="3"/>
      <c r="L34" s="3"/>
    </row>
    <row r="35" spans="1:12" x14ac:dyDescent="0.3">
      <c r="A35" s="108"/>
      <c r="F35" s="111"/>
      <c r="G35" s="2"/>
      <c r="H35" s="3"/>
      <c r="I35" s="3"/>
      <c r="J35" s="3"/>
      <c r="K35" s="3"/>
      <c r="L35" s="3"/>
    </row>
    <row r="36" spans="1:12" x14ac:dyDescent="0.3">
      <c r="A36" s="108"/>
      <c r="F36" s="111"/>
      <c r="G36" s="1"/>
      <c r="H36" s="3"/>
      <c r="I36" s="3"/>
      <c r="J36" s="3"/>
      <c r="K36" s="3"/>
      <c r="L36" s="3"/>
    </row>
    <row r="37" spans="1:12" x14ac:dyDescent="0.3">
      <c r="A37" s="108"/>
      <c r="F37" s="111"/>
      <c r="G37" s="1"/>
      <c r="H37" s="3"/>
      <c r="I37" s="3"/>
      <c r="J37" s="3"/>
      <c r="K37" s="3"/>
      <c r="L37" s="3"/>
    </row>
    <row r="38" spans="1:12" x14ac:dyDescent="0.3">
      <c r="F38" s="111"/>
      <c r="G38" s="1"/>
    </row>
    <row r="39" spans="1:12" x14ac:dyDescent="0.3">
      <c r="F39" s="111"/>
      <c r="G39" s="1"/>
    </row>
    <row r="40" spans="1:12" x14ac:dyDescent="0.3">
      <c r="F40" s="111"/>
      <c r="G40" s="1"/>
    </row>
    <row r="41" spans="1:12" x14ac:dyDescent="0.3">
      <c r="F41" s="111"/>
      <c r="G41" s="1"/>
    </row>
    <row r="42" spans="1:12" x14ac:dyDescent="0.3">
      <c r="F42" s="111"/>
      <c r="G42" s="1"/>
    </row>
    <row r="43" spans="1:12" x14ac:dyDescent="0.3">
      <c r="F43" s="111"/>
      <c r="G43" s="1"/>
    </row>
    <row r="44" spans="1:12" x14ac:dyDescent="0.3">
      <c r="F44" s="111"/>
      <c r="G44" s="1"/>
    </row>
    <row r="45" spans="1:12" x14ac:dyDescent="0.3">
      <c r="F45" s="111"/>
      <c r="G45" s="1"/>
    </row>
    <row r="46" spans="1:12" x14ac:dyDescent="0.3">
      <c r="F46" s="111"/>
      <c r="G46" s="1"/>
    </row>
    <row r="47" spans="1:12" x14ac:dyDescent="0.3">
      <c r="F47" s="111"/>
      <c r="G47" s="1"/>
    </row>
    <row r="48" spans="1:12" x14ac:dyDescent="0.3">
      <c r="F48" s="111"/>
      <c r="G48" s="1"/>
    </row>
    <row r="49" spans="6:7" x14ac:dyDescent="0.3">
      <c r="F49" s="111"/>
      <c r="G49" s="1"/>
    </row>
    <row r="50" spans="6:7" x14ac:dyDescent="0.3">
      <c r="F50" s="111"/>
      <c r="G50" s="1"/>
    </row>
    <row r="51" spans="6:7" x14ac:dyDescent="0.3">
      <c r="F51" s="111"/>
      <c r="G51" s="1"/>
    </row>
    <row r="52" spans="6:7" x14ac:dyDescent="0.3">
      <c r="F52" s="111"/>
      <c r="G52" s="1"/>
    </row>
    <row r="53" spans="6:7" x14ac:dyDescent="0.3">
      <c r="F53" s="111"/>
      <c r="G53" s="1"/>
    </row>
    <row r="54" spans="6:7" x14ac:dyDescent="0.3">
      <c r="F54" s="111"/>
      <c r="G54" s="1"/>
    </row>
    <row r="55" spans="6:7" x14ac:dyDescent="0.3">
      <c r="F55" s="111"/>
      <c r="G55" s="1"/>
    </row>
    <row r="56" spans="6:7" x14ac:dyDescent="0.3">
      <c r="F56" s="111"/>
      <c r="G56" s="1"/>
    </row>
    <row r="57" spans="6:7" x14ac:dyDescent="0.3">
      <c r="F57" s="111"/>
      <c r="G57" s="1"/>
    </row>
    <row r="58" spans="6:7" x14ac:dyDescent="0.3">
      <c r="F58" s="111"/>
      <c r="G58" s="1"/>
    </row>
    <row r="59" spans="6:7" x14ac:dyDescent="0.3">
      <c r="F59" s="111"/>
      <c r="G59" s="1"/>
    </row>
    <row r="60" spans="6:7" x14ac:dyDescent="0.3">
      <c r="F60" s="111"/>
      <c r="G60" s="1"/>
    </row>
    <row r="61" spans="6:7" x14ac:dyDescent="0.3">
      <c r="F61" s="111"/>
      <c r="G61" s="1"/>
    </row>
    <row r="62" spans="6:7" x14ac:dyDescent="0.3">
      <c r="F62" s="111"/>
      <c r="G62" s="1"/>
    </row>
    <row r="63" spans="6:7" x14ac:dyDescent="0.3">
      <c r="F63" s="111"/>
      <c r="G63" s="1"/>
    </row>
    <row r="64" spans="6:7" x14ac:dyDescent="0.3">
      <c r="F64" s="111"/>
      <c r="G64" s="1"/>
    </row>
    <row r="65" spans="6:7" x14ac:dyDescent="0.3">
      <c r="F65" s="111"/>
      <c r="G65" s="1"/>
    </row>
    <row r="66" spans="6:7" x14ac:dyDescent="0.3">
      <c r="F66" s="111"/>
      <c r="G66" s="1"/>
    </row>
    <row r="67" spans="6:7" x14ac:dyDescent="0.3">
      <c r="F67" s="111"/>
      <c r="G67" s="1"/>
    </row>
    <row r="68" spans="6:7" x14ac:dyDescent="0.3">
      <c r="F68" s="111"/>
      <c r="G68" s="1"/>
    </row>
    <row r="69" spans="6:7" x14ac:dyDescent="0.3">
      <c r="F69" s="111"/>
      <c r="G69" s="1"/>
    </row>
    <row r="70" spans="6:7" x14ac:dyDescent="0.3">
      <c r="F70" s="111"/>
      <c r="G70" s="1"/>
    </row>
    <row r="71" spans="6:7" x14ac:dyDescent="0.3">
      <c r="F71" s="111"/>
      <c r="G71" s="1"/>
    </row>
    <row r="72" spans="6:7" x14ac:dyDescent="0.3">
      <c r="F72" s="111"/>
      <c r="G72" s="1"/>
    </row>
    <row r="73" spans="6:7" x14ac:dyDescent="0.3">
      <c r="F73" s="111"/>
      <c r="G73" s="1"/>
    </row>
    <row r="74" spans="6:7" x14ac:dyDescent="0.3">
      <c r="F74" s="111"/>
      <c r="G74" s="1"/>
    </row>
    <row r="75" spans="6:7" x14ac:dyDescent="0.3">
      <c r="F75" s="111"/>
      <c r="G75" s="1"/>
    </row>
    <row r="76" spans="6:7" x14ac:dyDescent="0.3">
      <c r="F76" s="111"/>
      <c r="G76" s="1"/>
    </row>
    <row r="77" spans="6:7" x14ac:dyDescent="0.3">
      <c r="F77" s="111"/>
      <c r="G77" s="1"/>
    </row>
    <row r="78" spans="6:7" x14ac:dyDescent="0.3">
      <c r="F78" s="111"/>
      <c r="G78" s="1"/>
    </row>
    <row r="79" spans="6:7" x14ac:dyDescent="0.3">
      <c r="F79" s="111"/>
      <c r="G79" s="1"/>
    </row>
    <row r="80" spans="6:7" x14ac:dyDescent="0.3">
      <c r="F80" s="111"/>
      <c r="G80" s="1"/>
    </row>
    <row r="81" spans="6:7" x14ac:dyDescent="0.3">
      <c r="F81" s="111"/>
      <c r="G81" s="1"/>
    </row>
    <row r="82" spans="6:7" x14ac:dyDescent="0.3">
      <c r="F82" s="111"/>
      <c r="G82" s="1"/>
    </row>
  </sheetData>
  <mergeCells count="15">
    <mergeCell ref="A20:E20"/>
    <mergeCell ref="A21:E21"/>
    <mergeCell ref="A15:E15"/>
    <mergeCell ref="A9:A11"/>
    <mergeCell ref="E9:E11"/>
    <mergeCell ref="A16:F16"/>
    <mergeCell ref="A17:G17"/>
    <mergeCell ref="A18:F18"/>
    <mergeCell ref="A19:E19"/>
    <mergeCell ref="A1:E1"/>
    <mergeCell ref="B4:B5"/>
    <mergeCell ref="A4:A5"/>
    <mergeCell ref="E4:E5"/>
    <mergeCell ref="A6:A8"/>
    <mergeCell ref="E6:E8"/>
  </mergeCells>
  <pageMargins left="0.7" right="0.7" top="0.75" bottom="0.75" header="0.3" footer="0.3"/>
  <pageSetup scale="90" orientation="landscape" r:id="rId1"/>
  <headerFooter>
    <oddFooter>&amp;RPublish Date: Feb. 2021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4"/>
  <sheetViews>
    <sheetView workbookViewId="0">
      <selection activeCell="F25" sqref="F25"/>
    </sheetView>
  </sheetViews>
  <sheetFormatPr defaultRowHeight="14.4" x14ac:dyDescent="0.3"/>
  <cols>
    <col min="1" max="1" width="21.5546875" bestFit="1" customWidth="1"/>
    <col min="2" max="2" width="24.6640625" bestFit="1" customWidth="1"/>
    <col min="3" max="3" width="47.5546875" bestFit="1" customWidth="1"/>
  </cols>
  <sheetData>
    <row r="1" spans="1:11" x14ac:dyDescent="0.3">
      <c r="B1" t="s">
        <v>99</v>
      </c>
      <c r="C1" s="101" t="s">
        <v>100</v>
      </c>
    </row>
    <row r="2" spans="1:11" x14ac:dyDescent="0.3">
      <c r="A2" s="54" t="s">
        <v>85</v>
      </c>
      <c r="B2" s="55">
        <v>0.75099999999999989</v>
      </c>
      <c r="C2" s="101">
        <f>79.1/20.9</f>
        <v>3.7846889952153111</v>
      </c>
      <c r="J2" s="102">
        <f>6.3+5.5+5.3+5.3+5.6+5.8+6+6.5+7.4+8+7.8+5.6</f>
        <v>75.099999999999994</v>
      </c>
      <c r="K2">
        <f>+J2/100</f>
        <v>0.75099999999999989</v>
      </c>
    </row>
    <row r="3" spans="1:11" x14ac:dyDescent="0.3">
      <c r="A3" t="s">
        <v>86</v>
      </c>
      <c r="B3" s="55">
        <v>0.76999999999999991</v>
      </c>
      <c r="C3" s="101">
        <f>77.9/22.1</f>
        <v>3.5248868778280542</v>
      </c>
      <c r="J3" s="102">
        <f>6.2+5.4+5.1+4.7+5.1+5.8+6.1+7.2+8.4+9.8+8.1+5.1</f>
        <v>76.999999999999986</v>
      </c>
      <c r="K3">
        <f t="shared" ref="K3:K11" si="0">+J3/100</f>
        <v>0.76999999999999991</v>
      </c>
    </row>
    <row r="4" spans="1:11" x14ac:dyDescent="0.3">
      <c r="A4" t="s">
        <v>87</v>
      </c>
      <c r="B4" s="55">
        <v>0.78899999999999992</v>
      </c>
      <c r="C4" s="101">
        <f>78.6/21.4</f>
        <v>3.6728971962616823</v>
      </c>
      <c r="J4" s="102">
        <f>6.8+5.6+5.3+5.5+5.8+6.1+6.2+7+8.2+8.7+8.1+5.6</f>
        <v>78.899999999999991</v>
      </c>
      <c r="K4">
        <f t="shared" si="0"/>
        <v>0.78899999999999992</v>
      </c>
    </row>
    <row r="5" spans="1:11" x14ac:dyDescent="0.3">
      <c r="A5" t="s">
        <v>88</v>
      </c>
      <c r="B5" s="55">
        <v>0.77300000000000013</v>
      </c>
      <c r="C5" s="101">
        <f>79.5/20.5</f>
        <v>3.8780487804878048</v>
      </c>
      <c r="J5" s="102">
        <f>6.3+5.5+5.3+5.5+5.9+6.1+6.2+6.9+8.1+8.4+7.7+5.4</f>
        <v>77.300000000000011</v>
      </c>
      <c r="K5">
        <f t="shared" si="0"/>
        <v>0.77300000000000013</v>
      </c>
    </row>
    <row r="6" spans="1:11" x14ac:dyDescent="0.3">
      <c r="A6" t="s">
        <v>89</v>
      </c>
      <c r="B6" s="55">
        <v>0.78700000000000014</v>
      </c>
      <c r="C6" s="101">
        <f>78.7/21.3</f>
        <v>3.6948356807511735</v>
      </c>
      <c r="J6" s="102">
        <f>8.4+4.7+4.5+4.5+4.9+5.2+5.6+7.9+8.1+9.1+8.9+6.9</f>
        <v>78.700000000000017</v>
      </c>
      <c r="K6">
        <f t="shared" si="0"/>
        <v>0.78700000000000014</v>
      </c>
    </row>
    <row r="7" spans="1:11" x14ac:dyDescent="0.3">
      <c r="A7" t="s">
        <v>90</v>
      </c>
      <c r="B7" s="55">
        <v>0.79000000000000015</v>
      </c>
      <c r="C7" s="101">
        <f>78.3/21.7</f>
        <v>3.6082949308755761</v>
      </c>
      <c r="D7" t="s">
        <v>115</v>
      </c>
      <c r="J7" s="102">
        <f>7+5.7+4.9+4.9+5.5+6+6.1+7.1+8.5+9+8.4+5.9</f>
        <v>79.000000000000014</v>
      </c>
      <c r="K7">
        <f t="shared" si="0"/>
        <v>0.79000000000000015</v>
      </c>
    </row>
    <row r="8" spans="1:11" x14ac:dyDescent="0.3">
      <c r="A8" t="s">
        <v>91</v>
      </c>
      <c r="B8" s="55">
        <v>0.74899999999999989</v>
      </c>
      <c r="C8" s="101">
        <f>78.3/21.7</f>
        <v>3.6082949308755761</v>
      </c>
      <c r="J8" s="102">
        <f>7.6+6.2+5+4.7+5+5.3+5.5+6.3+7.6+8.2+7.9+5.6</f>
        <v>74.899999999999991</v>
      </c>
      <c r="K8">
        <f t="shared" si="0"/>
        <v>0.74899999999999989</v>
      </c>
    </row>
    <row r="9" spans="1:11" x14ac:dyDescent="0.3">
      <c r="A9" t="s">
        <v>92</v>
      </c>
      <c r="B9" s="55">
        <v>0.79900000000000004</v>
      </c>
      <c r="C9" s="101">
        <f>80.5/19.5</f>
        <v>4.1282051282051286</v>
      </c>
      <c r="J9" s="102">
        <f>5.9+5.9+5.1+5+5.9+6.5+6.2+6.5+7.8+9+9.2+6.9</f>
        <v>79.900000000000006</v>
      </c>
      <c r="K9">
        <f t="shared" si="0"/>
        <v>0.79900000000000004</v>
      </c>
    </row>
    <row r="10" spans="1:11" x14ac:dyDescent="0.3">
      <c r="A10" t="s">
        <v>93</v>
      </c>
      <c r="B10" s="55">
        <v>0.80399999999999994</v>
      </c>
      <c r="C10" s="101">
        <f>79.2/20.8</f>
        <v>3.8076923076923075</v>
      </c>
      <c r="J10" s="102">
        <f>5.3+5.6+5.4+5.7+6.5+7.1+6.9+7.3+8.1+8.3+8+6.2</f>
        <v>80.399999999999991</v>
      </c>
      <c r="K10">
        <f t="shared" si="0"/>
        <v>0.80399999999999994</v>
      </c>
    </row>
    <row r="11" spans="1:11" x14ac:dyDescent="0.3">
      <c r="A11" t="s">
        <v>94</v>
      </c>
      <c r="B11" s="55">
        <v>0.77399999999999991</v>
      </c>
      <c r="C11" s="101">
        <f>78.7/21.3</f>
        <v>3.6948356807511735</v>
      </c>
      <c r="J11" s="102">
        <f>6.2+5.7+5.1+5.2+5.8+6.2+6.3+6.8+7.7+8.2+8.1+6.1</f>
        <v>77.399999999999991</v>
      </c>
      <c r="K11">
        <f t="shared" si="0"/>
        <v>0.77399999999999991</v>
      </c>
    </row>
    <row r="12" spans="1:11" x14ac:dyDescent="0.3">
      <c r="C12" s="101"/>
    </row>
    <row r="13" spans="1:11" x14ac:dyDescent="0.3">
      <c r="C13" s="101"/>
    </row>
    <row r="14" spans="1:11" x14ac:dyDescent="0.3">
      <c r="C14" s="101" t="s">
        <v>116</v>
      </c>
    </row>
    <row r="15" spans="1:11" x14ac:dyDescent="0.3">
      <c r="C15" s="101"/>
    </row>
    <row r="16" spans="1:11" x14ac:dyDescent="0.3">
      <c r="G16" s="100" t="s">
        <v>114</v>
      </c>
    </row>
    <row r="26" spans="6:6" x14ac:dyDescent="0.3">
      <c r="F26" s="50"/>
    </row>
    <row r="27" spans="6:6" x14ac:dyDescent="0.3">
      <c r="F27" s="51"/>
    </row>
    <row r="28" spans="6:6" x14ac:dyDescent="0.3">
      <c r="F28" s="50"/>
    </row>
    <row r="29" spans="6:6" x14ac:dyDescent="0.3">
      <c r="F29" s="51"/>
    </row>
    <row r="30" spans="6:6" x14ac:dyDescent="0.3">
      <c r="F30" s="50"/>
    </row>
    <row r="31" spans="6:6" x14ac:dyDescent="0.3">
      <c r="F31" s="51"/>
    </row>
    <row r="35" spans="6:6" x14ac:dyDescent="0.3">
      <c r="F35" s="50"/>
    </row>
    <row r="36" spans="6:6" x14ac:dyDescent="0.3">
      <c r="F36" s="51"/>
    </row>
    <row r="37" spans="6:6" x14ac:dyDescent="0.3">
      <c r="F37" s="50"/>
    </row>
    <row r="38" spans="6:6" x14ac:dyDescent="0.3">
      <c r="F38" s="51"/>
    </row>
    <row r="39" spans="6:6" x14ac:dyDescent="0.3">
      <c r="F39" s="50"/>
    </row>
    <row r="40" spans="6:6" x14ac:dyDescent="0.3">
      <c r="F40" s="51"/>
    </row>
    <row r="44" spans="6:6" x14ac:dyDescent="0.3">
      <c r="F44" s="50"/>
    </row>
    <row r="45" spans="6:6" x14ac:dyDescent="0.3">
      <c r="F45" s="51"/>
    </row>
    <row r="46" spans="6:6" x14ac:dyDescent="0.3">
      <c r="F46" s="50"/>
    </row>
    <row r="47" spans="6:6" x14ac:dyDescent="0.3">
      <c r="F47" s="51"/>
    </row>
    <row r="48" spans="6:6" x14ac:dyDescent="0.3">
      <c r="F48" s="50"/>
    </row>
    <row r="49" spans="6:6" x14ac:dyDescent="0.3">
      <c r="F49" s="51"/>
    </row>
    <row r="53" spans="6:6" x14ac:dyDescent="0.3">
      <c r="F53" s="50"/>
    </row>
    <row r="54" spans="6:6" x14ac:dyDescent="0.3">
      <c r="F54" s="51"/>
    </row>
    <row r="55" spans="6:6" x14ac:dyDescent="0.3">
      <c r="F55" s="50"/>
    </row>
    <row r="56" spans="6:6" x14ac:dyDescent="0.3">
      <c r="F56" s="51"/>
    </row>
    <row r="57" spans="6:6" x14ac:dyDescent="0.3">
      <c r="F57" s="50"/>
    </row>
    <row r="58" spans="6:6" x14ac:dyDescent="0.3">
      <c r="F58" s="51"/>
    </row>
    <row r="62" spans="6:6" x14ac:dyDescent="0.3">
      <c r="F62" s="50"/>
    </row>
    <row r="63" spans="6:6" x14ac:dyDescent="0.3">
      <c r="F63" s="51"/>
    </row>
    <row r="64" spans="6:6" x14ac:dyDescent="0.3">
      <c r="F64" s="50"/>
    </row>
    <row r="65" spans="6:6" x14ac:dyDescent="0.3">
      <c r="F65" s="51"/>
    </row>
    <row r="66" spans="6:6" x14ac:dyDescent="0.3">
      <c r="F66" s="50"/>
    </row>
    <row r="67" spans="6:6" x14ac:dyDescent="0.3">
      <c r="F67" s="51"/>
    </row>
    <row r="71" spans="6:6" x14ac:dyDescent="0.3">
      <c r="F71" s="50"/>
    </row>
    <row r="72" spans="6:6" x14ac:dyDescent="0.3">
      <c r="F72" s="51"/>
    </row>
    <row r="73" spans="6:6" x14ac:dyDescent="0.3">
      <c r="F73" s="50"/>
    </row>
    <row r="74" spans="6:6" x14ac:dyDescent="0.3">
      <c r="F74" s="51"/>
    </row>
    <row r="75" spans="6:6" x14ac:dyDescent="0.3">
      <c r="F75" s="50"/>
    </row>
    <row r="76" spans="6:6" x14ac:dyDescent="0.3">
      <c r="F76" s="51"/>
    </row>
    <row r="80" spans="6:6" x14ac:dyDescent="0.3">
      <c r="F80" s="50"/>
    </row>
    <row r="81" spans="6:6" x14ac:dyDescent="0.3">
      <c r="F81" s="51"/>
    </row>
    <row r="82" spans="6:6" x14ac:dyDescent="0.3">
      <c r="F82" s="50"/>
    </row>
    <row r="83" spans="6:6" x14ac:dyDescent="0.3">
      <c r="F83" s="51"/>
    </row>
    <row r="84" spans="6:6" x14ac:dyDescent="0.3">
      <c r="F84" s="50"/>
    </row>
    <row r="85" spans="6:6" x14ac:dyDescent="0.3">
      <c r="F85" s="51"/>
    </row>
    <row r="89" spans="6:6" x14ac:dyDescent="0.3">
      <c r="F89" s="50"/>
    </row>
    <row r="90" spans="6:6" x14ac:dyDescent="0.3">
      <c r="F90" s="51"/>
    </row>
    <row r="91" spans="6:6" x14ac:dyDescent="0.3">
      <c r="F91" s="50"/>
    </row>
    <row r="92" spans="6:6" x14ac:dyDescent="0.3">
      <c r="F92" s="51"/>
    </row>
    <row r="93" spans="6:6" x14ac:dyDescent="0.3">
      <c r="F93" s="50"/>
    </row>
    <row r="94" spans="6:6" x14ac:dyDescent="0.3">
      <c r="F94" s="51"/>
    </row>
    <row r="98" spans="6:6" x14ac:dyDescent="0.3">
      <c r="F98" s="50"/>
    </row>
    <row r="99" spans="6:6" x14ac:dyDescent="0.3">
      <c r="F99" s="51"/>
    </row>
    <row r="100" spans="6:6" x14ac:dyDescent="0.3">
      <c r="F100" s="50"/>
    </row>
    <row r="101" spans="6:6" x14ac:dyDescent="0.3">
      <c r="F101" s="51"/>
    </row>
    <row r="102" spans="6:6" x14ac:dyDescent="0.3">
      <c r="F102" s="50"/>
    </row>
    <row r="103" spans="6:6" x14ac:dyDescent="0.3">
      <c r="F103" s="51"/>
    </row>
    <row r="107" spans="6:6" x14ac:dyDescent="0.3">
      <c r="F107" s="50"/>
    </row>
    <row r="108" spans="6:6" x14ac:dyDescent="0.3">
      <c r="F108" s="51"/>
    </row>
    <row r="109" spans="6:6" x14ac:dyDescent="0.3">
      <c r="F109" s="50"/>
    </row>
    <row r="110" spans="6:6" x14ac:dyDescent="0.3">
      <c r="F110" s="51"/>
    </row>
    <row r="111" spans="6:6" x14ac:dyDescent="0.3">
      <c r="F111" s="50"/>
    </row>
    <row r="112" spans="6:6" x14ac:dyDescent="0.3">
      <c r="F112" s="51"/>
    </row>
    <row r="116" spans="6:6" x14ac:dyDescent="0.3">
      <c r="F116" s="50"/>
    </row>
    <row r="117" spans="6:6" x14ac:dyDescent="0.3">
      <c r="F117" s="51"/>
    </row>
    <row r="118" spans="6:6" x14ac:dyDescent="0.3">
      <c r="F118" s="50"/>
    </row>
    <row r="119" spans="6:6" x14ac:dyDescent="0.3">
      <c r="F119" s="51"/>
    </row>
    <row r="120" spans="6:6" x14ac:dyDescent="0.3">
      <c r="F120" s="50"/>
    </row>
    <row r="121" spans="6:6" x14ac:dyDescent="0.3">
      <c r="F121" s="51"/>
    </row>
    <row r="125" spans="6:6" x14ac:dyDescent="0.3">
      <c r="F125" s="50"/>
    </row>
    <row r="126" spans="6:6" x14ac:dyDescent="0.3">
      <c r="F126" s="51"/>
    </row>
    <row r="127" spans="6:6" x14ac:dyDescent="0.3">
      <c r="F127" s="50"/>
    </row>
    <row r="128" spans="6:6" x14ac:dyDescent="0.3">
      <c r="F128" s="51"/>
    </row>
    <row r="129" spans="6:6" x14ac:dyDescent="0.3">
      <c r="F129" s="50"/>
    </row>
    <row r="130" spans="6:6" x14ac:dyDescent="0.3">
      <c r="F130" s="51"/>
    </row>
    <row r="134" spans="6:6" x14ac:dyDescent="0.3">
      <c r="F134" s="50"/>
    </row>
    <row r="135" spans="6:6" x14ac:dyDescent="0.3">
      <c r="F135" s="51"/>
    </row>
    <row r="136" spans="6:6" x14ac:dyDescent="0.3">
      <c r="F136" s="50"/>
    </row>
    <row r="137" spans="6:6" x14ac:dyDescent="0.3">
      <c r="F137" s="51"/>
    </row>
    <row r="138" spans="6:6" x14ac:dyDescent="0.3">
      <c r="F138" s="50"/>
    </row>
    <row r="139" spans="6:6" x14ac:dyDescent="0.3">
      <c r="F139" s="51"/>
    </row>
    <row r="143" spans="6:6" x14ac:dyDescent="0.3">
      <c r="F143" s="50"/>
    </row>
    <row r="144" spans="6:6" x14ac:dyDescent="0.3">
      <c r="F144" s="51"/>
    </row>
    <row r="145" spans="6:6" x14ac:dyDescent="0.3">
      <c r="F145" s="50"/>
    </row>
    <row r="146" spans="6:6" x14ac:dyDescent="0.3">
      <c r="F146" s="51"/>
    </row>
    <row r="147" spans="6:6" x14ac:dyDescent="0.3">
      <c r="F147" s="50"/>
    </row>
    <row r="148" spans="6:6" x14ac:dyDescent="0.3">
      <c r="F148" s="51"/>
    </row>
    <row r="152" spans="6:6" x14ac:dyDescent="0.3">
      <c r="F152" s="50"/>
    </row>
    <row r="153" spans="6:6" x14ac:dyDescent="0.3">
      <c r="F153" s="51"/>
    </row>
    <row r="154" spans="6:6" x14ac:dyDescent="0.3">
      <c r="F154" s="50"/>
    </row>
    <row r="155" spans="6:6" x14ac:dyDescent="0.3">
      <c r="F155" s="51"/>
    </row>
    <row r="156" spans="6:6" x14ac:dyDescent="0.3">
      <c r="F156" s="50"/>
    </row>
    <row r="157" spans="6:6" x14ac:dyDescent="0.3">
      <c r="F157" s="51"/>
    </row>
    <row r="161" spans="6:6" x14ac:dyDescent="0.3">
      <c r="F161" s="50"/>
    </row>
    <row r="162" spans="6:6" x14ac:dyDescent="0.3">
      <c r="F162" s="51"/>
    </row>
    <row r="163" spans="6:6" x14ac:dyDescent="0.3">
      <c r="F163" s="50"/>
    </row>
    <row r="164" spans="6:6" x14ac:dyDescent="0.3">
      <c r="F164" s="51"/>
    </row>
    <row r="165" spans="6:6" x14ac:dyDescent="0.3">
      <c r="F165" s="50"/>
    </row>
    <row r="166" spans="6:6" x14ac:dyDescent="0.3">
      <c r="F166" s="51"/>
    </row>
    <row r="170" spans="6:6" x14ac:dyDescent="0.3">
      <c r="F170" s="50"/>
    </row>
    <row r="171" spans="6:6" x14ac:dyDescent="0.3">
      <c r="F171" s="51"/>
    </row>
    <row r="172" spans="6:6" x14ac:dyDescent="0.3">
      <c r="F172" s="50"/>
    </row>
    <row r="173" spans="6:6" x14ac:dyDescent="0.3">
      <c r="F173" s="51"/>
    </row>
    <row r="174" spans="6:6" x14ac:dyDescent="0.3">
      <c r="F174" s="50"/>
    </row>
    <row r="175" spans="6:6" x14ac:dyDescent="0.3">
      <c r="F175" s="51"/>
    </row>
    <row r="179" spans="6:6" x14ac:dyDescent="0.3">
      <c r="F179" s="50"/>
    </row>
    <row r="180" spans="6:6" x14ac:dyDescent="0.3">
      <c r="F180" s="51"/>
    </row>
    <row r="181" spans="6:6" x14ac:dyDescent="0.3">
      <c r="F181" s="50"/>
    </row>
    <row r="182" spans="6:6" x14ac:dyDescent="0.3">
      <c r="F182" s="51"/>
    </row>
    <row r="183" spans="6:6" x14ac:dyDescent="0.3">
      <c r="F183" s="50"/>
    </row>
    <row r="184" spans="6:6" x14ac:dyDescent="0.3">
      <c r="F184" s="51"/>
    </row>
    <row r="188" spans="6:6" x14ac:dyDescent="0.3">
      <c r="F188" s="50"/>
    </row>
    <row r="189" spans="6:6" x14ac:dyDescent="0.3">
      <c r="F189" s="51"/>
    </row>
    <row r="190" spans="6:6" x14ac:dyDescent="0.3">
      <c r="F190" s="50"/>
    </row>
    <row r="191" spans="6:6" x14ac:dyDescent="0.3">
      <c r="F191" s="51"/>
    </row>
    <row r="192" spans="6:6" x14ac:dyDescent="0.3">
      <c r="F192" s="50"/>
    </row>
    <row r="193" spans="6:6" x14ac:dyDescent="0.3">
      <c r="F193" s="51"/>
    </row>
    <row r="197" spans="6:6" x14ac:dyDescent="0.3">
      <c r="F197" s="50"/>
    </row>
    <row r="198" spans="6:6" x14ac:dyDescent="0.3">
      <c r="F198" s="51"/>
    </row>
    <row r="199" spans="6:6" x14ac:dyDescent="0.3">
      <c r="F199" s="50"/>
    </row>
    <row r="200" spans="6:6" x14ac:dyDescent="0.3">
      <c r="F200" s="51"/>
    </row>
    <row r="201" spans="6:6" x14ac:dyDescent="0.3">
      <c r="F201" s="50"/>
    </row>
    <row r="202" spans="6:6" x14ac:dyDescent="0.3">
      <c r="F202" s="51"/>
    </row>
    <row r="206" spans="6:6" x14ac:dyDescent="0.3">
      <c r="F206" s="50"/>
    </row>
    <row r="207" spans="6:6" x14ac:dyDescent="0.3">
      <c r="F207" s="51"/>
    </row>
    <row r="208" spans="6:6" x14ac:dyDescent="0.3">
      <c r="F208" s="50"/>
    </row>
    <row r="209" spans="6:6" x14ac:dyDescent="0.3">
      <c r="F209" s="51"/>
    </row>
    <row r="210" spans="6:6" x14ac:dyDescent="0.3">
      <c r="F210" s="50"/>
    </row>
    <row r="211" spans="6:6" x14ac:dyDescent="0.3">
      <c r="F211" s="51"/>
    </row>
    <row r="215" spans="6:6" x14ac:dyDescent="0.3">
      <c r="F215" s="50"/>
    </row>
    <row r="216" spans="6:6" x14ac:dyDescent="0.3">
      <c r="F216" s="51"/>
    </row>
    <row r="217" spans="6:6" x14ac:dyDescent="0.3">
      <c r="F217" s="50"/>
    </row>
    <row r="218" spans="6:6" x14ac:dyDescent="0.3">
      <c r="F218" s="51"/>
    </row>
    <row r="219" spans="6:6" x14ac:dyDescent="0.3">
      <c r="F219" s="50"/>
    </row>
    <row r="220" spans="6:6" x14ac:dyDescent="0.3">
      <c r="F220" s="51"/>
    </row>
    <row r="224" spans="6:6" x14ac:dyDescent="0.3">
      <c r="F224" s="50"/>
    </row>
    <row r="225" spans="6:6" x14ac:dyDescent="0.3">
      <c r="F225" s="51"/>
    </row>
    <row r="226" spans="6:6" x14ac:dyDescent="0.3">
      <c r="F226" s="50"/>
    </row>
    <row r="227" spans="6:6" x14ac:dyDescent="0.3">
      <c r="F227" s="51"/>
    </row>
    <row r="228" spans="6:6" x14ac:dyDescent="0.3">
      <c r="F228" s="50"/>
    </row>
    <row r="229" spans="6:6" x14ac:dyDescent="0.3">
      <c r="F229" s="51"/>
    </row>
    <row r="233" spans="6:6" x14ac:dyDescent="0.3">
      <c r="F233" s="50"/>
    </row>
    <row r="234" spans="6:6" x14ac:dyDescent="0.3">
      <c r="F234" s="51"/>
    </row>
    <row r="235" spans="6:6" x14ac:dyDescent="0.3">
      <c r="F235" s="50"/>
    </row>
    <row r="236" spans="6:6" x14ac:dyDescent="0.3">
      <c r="F236" s="51"/>
    </row>
    <row r="237" spans="6:6" x14ac:dyDescent="0.3">
      <c r="F237" s="50"/>
    </row>
    <row r="238" spans="6:6" x14ac:dyDescent="0.3">
      <c r="F238" s="51"/>
    </row>
    <row r="239" spans="6:6" x14ac:dyDescent="0.3">
      <c r="F239" s="50"/>
    </row>
    <row r="240" spans="6:6" x14ac:dyDescent="0.3">
      <c r="F240" s="52"/>
    </row>
    <row r="241" spans="6:6" x14ac:dyDescent="0.3">
      <c r="F241" s="50"/>
    </row>
    <row r="242" spans="6:6" x14ac:dyDescent="0.3">
      <c r="F242" s="52"/>
    </row>
    <row r="243" spans="6:6" x14ac:dyDescent="0.3">
      <c r="F243" s="50"/>
    </row>
    <row r="244" spans="6:6" x14ac:dyDescent="0.3">
      <c r="F244" s="52"/>
    </row>
  </sheetData>
  <sheetProtection sheet="1" objects="1" scenarios="1"/>
  <sortState xmlns:xlrd2="http://schemas.microsoft.com/office/spreadsheetml/2017/richdata2" ref="A2:A10">
    <sortCondition ref="A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02762ea1-f9ce-44b2-82d0-0a582aa90e63">Appendix B - Estimated Signal Retiming Benefits</Group>
    <Modification_x0020_Date xmlns="02762ea1-f9ce-44b2-82d0-0a582aa90e63">2024-07-17T04:00:00+00:00</Modification_x0020_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392346E023A479B22EA8CCEB30BB4" ma:contentTypeVersion="9" ma:contentTypeDescription="Create a new document." ma:contentTypeScope="" ma:versionID="259379bc7701797c8f9dbbcae364b53e">
  <xsd:schema xmlns:xsd="http://www.w3.org/2001/XMLSchema" xmlns:xs="http://www.w3.org/2001/XMLSchema" xmlns:p="http://schemas.microsoft.com/office/2006/metadata/properties" xmlns:ns2="02762ea1-f9ce-44b2-82d0-0a582aa90e63" xmlns:ns3="43a8e1b7-d92d-4498-aab1-fbbcaf7cd14c" targetNamespace="http://schemas.microsoft.com/office/2006/metadata/properties" ma:root="true" ma:fieldsID="4940b83e66f7d8c77ce61a912f966434" ns2:_="" ns3:_="">
    <xsd:import namespace="02762ea1-f9ce-44b2-82d0-0a582aa90e63"/>
    <xsd:import namespace="43a8e1b7-d92d-4498-aab1-fbbcaf7cd1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Modification_x0020_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62ea1-f9ce-44b2-82d0-0a582aa90e63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1. Project Scope / Sample Report" ma:format="Dropdown" ma:internalName="Group">
      <xsd:simpleType>
        <xsd:union memberTypes="dms:Text">
          <xsd:simpleType>
            <xsd:restriction base="dms:Choice">
              <xsd:enumeration value="1. Project Scope / Sample Report"/>
              <xsd:enumeration value="Appendix A - Executive Report"/>
              <xsd:enumeration value="Appendix B - Estimated Signal Retiming Benefits"/>
              <xsd:enumeration value="Appendix C - Existing Geometrics and Signal Layouts"/>
              <xsd:enumeration value="Appendix D - Signal Timing Summary"/>
              <xsd:enumeration value="Appendix E - Traffic Counts"/>
              <xsd:enumeration value="Appendix F - Traffic Signal Timing Inspection Report"/>
              <xsd:enumeration value="Appendix G - Intersection Summary Diagram"/>
            </xsd:restriction>
          </xsd:simpleType>
        </xsd:union>
      </xsd:simpleType>
    </xsd:element>
    <xsd:element name="Modification_x0020_Date" ma:index="9" nillable="true" ma:displayName="Modification Date" ma:default="[today]" ma:format="DateOnly" ma:internalName="Modific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8e1b7-d92d-4498-aab1-fbbcaf7c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F45E8-B414-4114-9E9A-867744DA9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11D78-F2BD-4B41-890D-6296C119AAD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5ba9981-1e78-4b1a-8824-fc100da45dc2"/>
    <ds:schemaRef ds:uri="http://schemas.microsoft.com/office/2006/documentManagement/types"/>
    <ds:schemaRef ds:uri="http://schemas.microsoft.com/office/infopath/2007/PartnerControls"/>
    <ds:schemaRef ds:uri="cdf5cfbf-cf86-4eb7-ac31-a9fd0075546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3C04BF-68DF-4E3B-96BA-A30B163EB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Corridor Information</vt:lpstr>
      <vt:lpstr>Delay</vt:lpstr>
      <vt:lpstr>Safety</vt:lpstr>
      <vt:lpstr>Fuel</vt:lpstr>
      <vt:lpstr>Emissions</vt:lpstr>
      <vt:lpstr>Reference Sheet</vt:lpstr>
      <vt:lpstr>functional classifications</vt:lpstr>
      <vt:lpstr>'Reference Sheet'!Print_Area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Signal Retiming Benefits-TruTraffic</dc:title>
  <dc:creator>Ryan Lowe</dc:creator>
  <cp:lastModifiedBy>Mead, Patrick</cp:lastModifiedBy>
  <cp:lastPrinted>2021-02-22T20:51:20Z</cp:lastPrinted>
  <dcterms:created xsi:type="dcterms:W3CDTF">2015-08-28T11:49:48Z</dcterms:created>
  <dcterms:modified xsi:type="dcterms:W3CDTF">2024-06-21T14:47:03Z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0x010100D29392346E023A479B22EA8CCEB30BB4</vt:lpwstr>
  </property>
</Properties>
</file>